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E815" lockStructure="1"/>
  <bookViews>
    <workbookView xWindow="-30" yWindow="4620" windowWidth="19200" windowHeight="7725" tabRatio="792" activeTab="4"/>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L" sheetId="13" state="hidden" r:id="rId8"/>
    <sheet name="Smelter Reference List" sheetId="14" r:id="rId9"/>
    <sheet name="C" sheetId="15" state="hidden" r:id="rId10"/>
    <sheet name="Sheet1" sheetId="17" state="hidden" r:id="rId11"/>
  </sheets>
  <definedNames>
    <definedName name="_xlnm._FilterDatabase" localSheetId="5" hidden="1">Checker!$B$3:$C$66</definedName>
    <definedName name="_xlnm._FilterDatabase" localSheetId="4" hidden="1">'Smelter List'!$B$4:$Q$4</definedName>
    <definedName name="_xlnm._FilterDatabase" localSheetId="8" hidden="1">'Smelter Reference List'!$A$4:$I$502</definedName>
    <definedName name="CL" comment="CountryList">'C'!$A$2:$A$239</definedName>
    <definedName name="LN" comment="language list for dropdown">L!$D$1:$L$1</definedName>
    <definedName name="Metal" comment="metal list for dropdown" localSheetId="4">'Smelter List'!$T$3:$W$3</definedName>
    <definedName name="MetalSmelter">'Smelter Reference List'!$J$5:$J$1005</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etifiedForMetal">'Smelter List'!$B$5:$B$2424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45621" concurrentManualCount="2"/>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413" i="14" l="1"/>
  <c r="J403" i="14"/>
  <c r="J354" i="14"/>
  <c r="J289" i="14"/>
  <c r="J223" i="14"/>
  <c r="J113" i="14"/>
  <c r="J415" i="14"/>
  <c r="J469" i="14"/>
  <c r="J265" i="14"/>
  <c r="J75" i="14"/>
  <c r="J62" i="14"/>
  <c r="J45" i="14"/>
  <c r="J338" i="14"/>
  <c r="J379" i="14"/>
  <c r="J157" i="14"/>
  <c r="J203" i="14"/>
  <c r="J132" i="14"/>
  <c r="J126" i="14"/>
  <c r="J52" i="14"/>
  <c r="J21" i="14"/>
  <c r="J20" i="14"/>
  <c r="D11" i="4"/>
  <c r="B4" i="10"/>
  <c r="G4" i="10"/>
  <c r="H4" i="10" s="1"/>
  <c r="D4" i="10" s="1"/>
  <c r="B5" i="10"/>
  <c r="F6" i="10" s="1"/>
  <c r="B15" i="10"/>
  <c r="G15" i="10"/>
  <c r="H15" i="10" s="1"/>
  <c r="D15" i="10" s="1"/>
  <c r="B16" i="10"/>
  <c r="F26" i="10" s="1"/>
  <c r="B17" i="10"/>
  <c r="G17" i="10"/>
  <c r="H17" i="10" s="1"/>
  <c r="D17" i="10" s="1"/>
  <c r="B18" i="10"/>
  <c r="G18" i="10"/>
  <c r="H18" i="10" s="1"/>
  <c r="D18" i="10"/>
  <c r="K62" i="10"/>
  <c r="H62" i="10"/>
  <c r="D62" i="10" s="1"/>
  <c r="K63" i="10"/>
  <c r="H63" i="10" s="1"/>
  <c r="D63" i="10" s="1"/>
  <c r="K64" i="10"/>
  <c r="H64" i="10"/>
  <c r="D64" i="10" s="1"/>
  <c r="K65" i="10"/>
  <c r="H65" i="10" s="1"/>
  <c r="D65" i="10" s="1"/>
  <c r="J91" i="14"/>
  <c r="J442" i="14"/>
  <c r="J283" i="14"/>
  <c r="J222" i="14"/>
  <c r="J290" i="14"/>
  <c r="A294" i="13"/>
  <c r="A295" i="13"/>
  <c r="A296" i="13"/>
  <c r="A297" i="13"/>
  <c r="J502" i="14"/>
  <c r="A237" i="13"/>
  <c r="A236" i="13"/>
  <c r="A235" i="13"/>
  <c r="G65" i="10"/>
  <c r="G64" i="10"/>
  <c r="G63" i="10"/>
  <c r="A136" i="13"/>
  <c r="A135" i="13"/>
  <c r="A134" i="13"/>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4" i="14"/>
  <c r="J412" i="14"/>
  <c r="J411" i="14"/>
  <c r="J410" i="14"/>
  <c r="J409" i="14"/>
  <c r="J408" i="14"/>
  <c r="J407" i="14"/>
  <c r="J406" i="14"/>
  <c r="J405" i="14"/>
  <c r="J404"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3" i="14"/>
  <c r="J352" i="14"/>
  <c r="J351" i="14"/>
  <c r="J350" i="14"/>
  <c r="J349" i="14"/>
  <c r="J348" i="14"/>
  <c r="J347" i="14"/>
  <c r="J346" i="14"/>
  <c r="J345" i="14"/>
  <c r="J344" i="14"/>
  <c r="J343" i="14"/>
  <c r="J342" i="14"/>
  <c r="J341" i="14"/>
  <c r="J340" i="14"/>
  <c r="J339"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4" i="14"/>
  <c r="J306" i="14"/>
  <c r="J305" i="14"/>
  <c r="J303" i="14"/>
  <c r="J302" i="14"/>
  <c r="J301" i="14"/>
  <c r="J300" i="14"/>
  <c r="J299" i="14"/>
  <c r="J298" i="14"/>
  <c r="J297" i="14"/>
  <c r="J296" i="14"/>
  <c r="J295" i="14"/>
  <c r="J294" i="14"/>
  <c r="J293" i="14"/>
  <c r="J292" i="14"/>
  <c r="J291" i="14"/>
  <c r="J288" i="14"/>
  <c r="J287" i="14"/>
  <c r="J286" i="14"/>
  <c r="J285" i="14"/>
  <c r="J284" i="14"/>
  <c r="J282" i="14"/>
  <c r="J281" i="14"/>
  <c r="J280" i="14"/>
  <c r="J279" i="14"/>
  <c r="J278" i="14"/>
  <c r="J277" i="14"/>
  <c r="J276" i="14"/>
  <c r="J275" i="14"/>
  <c r="J274" i="14"/>
  <c r="J273" i="14"/>
  <c r="J272" i="14"/>
  <c r="J271" i="14"/>
  <c r="J270" i="14"/>
  <c r="J269" i="14"/>
  <c r="J268" i="14"/>
  <c r="J267" i="14"/>
  <c r="J266" i="14"/>
  <c r="J264" i="14"/>
  <c r="J263" i="14"/>
  <c r="J262" i="14"/>
  <c r="J261" i="14"/>
  <c r="J260" i="14"/>
  <c r="J259" i="14"/>
  <c r="J258" i="14"/>
  <c r="J256" i="14"/>
  <c r="J257"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1" i="14"/>
  <c r="J220" i="14"/>
  <c r="J219" i="14"/>
  <c r="J218" i="14"/>
  <c r="J217" i="14"/>
  <c r="J216" i="14"/>
  <c r="J215" i="14"/>
  <c r="J214" i="14"/>
  <c r="J213" i="14"/>
  <c r="J212" i="14"/>
  <c r="J211" i="14"/>
  <c r="J210" i="14"/>
  <c r="J209" i="14"/>
  <c r="J208" i="14"/>
  <c r="J207" i="14"/>
  <c r="J206" i="14"/>
  <c r="J205" i="14"/>
  <c r="J204"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1" i="14"/>
  <c r="J130" i="14"/>
  <c r="J129" i="14"/>
  <c r="J128" i="14"/>
  <c r="J127" i="14"/>
  <c r="J125" i="14"/>
  <c r="J124" i="14"/>
  <c r="J123" i="14"/>
  <c r="J122" i="14"/>
  <c r="J121" i="14"/>
  <c r="J120" i="14"/>
  <c r="J119" i="14"/>
  <c r="J118" i="14"/>
  <c r="J117" i="14"/>
  <c r="J116" i="14"/>
  <c r="J115" i="14"/>
  <c r="J114" i="14"/>
  <c r="J112" i="14"/>
  <c r="J111" i="14"/>
  <c r="J110" i="14"/>
  <c r="J109" i="14"/>
  <c r="J108" i="14"/>
  <c r="J107" i="14"/>
  <c r="J106" i="14"/>
  <c r="J105" i="14"/>
  <c r="J104" i="14"/>
  <c r="J103" i="14"/>
  <c r="J102" i="14"/>
  <c r="J101" i="14"/>
  <c r="J100" i="14"/>
  <c r="J99" i="14"/>
  <c r="J98" i="14"/>
  <c r="J97" i="14"/>
  <c r="J96" i="14"/>
  <c r="J95" i="14"/>
  <c r="J94" i="14"/>
  <c r="J93" i="14"/>
  <c r="J92" i="14"/>
  <c r="J90" i="14"/>
  <c r="J89" i="14"/>
  <c r="J88" i="14"/>
  <c r="J87" i="14"/>
  <c r="J86" i="14"/>
  <c r="J85" i="14"/>
  <c r="J84" i="14"/>
  <c r="J83" i="14"/>
  <c r="J82" i="14"/>
  <c r="J81" i="14"/>
  <c r="J80" i="14"/>
  <c r="J79" i="14"/>
  <c r="J78" i="14"/>
  <c r="J77" i="14"/>
  <c r="J76" i="14"/>
  <c r="J74" i="14"/>
  <c r="J73" i="14"/>
  <c r="J72" i="14"/>
  <c r="J71" i="14"/>
  <c r="J70" i="14"/>
  <c r="J69" i="14"/>
  <c r="J68" i="14"/>
  <c r="J67" i="14"/>
  <c r="J66" i="14"/>
  <c r="J65" i="14"/>
  <c r="J64" i="14"/>
  <c r="J63" i="14"/>
  <c r="J61" i="14"/>
  <c r="J60" i="14"/>
  <c r="J59" i="14"/>
  <c r="J58" i="14"/>
  <c r="J57" i="14"/>
  <c r="J56" i="14"/>
  <c r="J55" i="14"/>
  <c r="J54" i="14"/>
  <c r="J53" i="14"/>
  <c r="J51" i="14"/>
  <c r="J50" i="14"/>
  <c r="J49" i="14"/>
  <c r="J48" i="14"/>
  <c r="J47" i="14"/>
  <c r="J46" i="14"/>
  <c r="J44" i="14"/>
  <c r="J43" i="14"/>
  <c r="J42" i="14"/>
  <c r="J41" i="14"/>
  <c r="J40" i="14"/>
  <c r="J39" i="14"/>
  <c r="J38" i="14"/>
  <c r="J37" i="14"/>
  <c r="J36" i="14"/>
  <c r="J35" i="14"/>
  <c r="J34" i="14"/>
  <c r="J33" i="14"/>
  <c r="J32" i="14"/>
  <c r="J31" i="14"/>
  <c r="J30" i="14"/>
  <c r="J29" i="14"/>
  <c r="J28" i="14"/>
  <c r="J27" i="14"/>
  <c r="J26" i="14"/>
  <c r="J25" i="14"/>
  <c r="J24" i="14"/>
  <c r="J23" i="14"/>
  <c r="J22" i="14"/>
  <c r="J19" i="14"/>
  <c r="J18" i="14"/>
  <c r="J17" i="14"/>
  <c r="J16" i="14"/>
  <c r="J15" i="14"/>
  <c r="J14" i="14"/>
  <c r="J13" i="14"/>
  <c r="J12" i="14"/>
  <c r="J11" i="14"/>
  <c r="J10" i="14"/>
  <c r="J9" i="14"/>
  <c r="J8" i="14"/>
  <c r="S126" i="16" s="1"/>
  <c r="J7" i="14"/>
  <c r="J6" i="14"/>
  <c r="J5" i="14"/>
  <c r="S5" i="16" s="1"/>
  <c r="A146" i="13"/>
  <c r="A200" i="13"/>
  <c r="A206" i="13"/>
  <c r="A209" i="13"/>
  <c r="A208" i="13"/>
  <c r="A207" i="13"/>
  <c r="B51" i="10"/>
  <c r="G51" i="10" s="1"/>
  <c r="B52" i="10"/>
  <c r="G52" i="10" s="1"/>
  <c r="B6" i="10"/>
  <c r="G6" i="10" s="1"/>
  <c r="A205" i="13"/>
  <c r="A65" i="13"/>
  <c r="A63" i="13"/>
  <c r="A53" i="13"/>
  <c r="A54" i="13"/>
  <c r="A32" i="13"/>
  <c r="A28" i="13"/>
  <c r="A17" i="13"/>
  <c r="A19" i="13"/>
  <c r="A18" i="13"/>
  <c r="A16" i="13"/>
  <c r="A15" i="13"/>
  <c r="A14" i="13"/>
  <c r="A11" i="13"/>
  <c r="A129" i="13"/>
  <c r="A99" i="13"/>
  <c r="A93" i="13"/>
  <c r="A123" i="13"/>
  <c r="A92" i="13"/>
  <c r="A91" i="13"/>
  <c r="A122" i="13"/>
  <c r="A121" i="13"/>
  <c r="A90" i="13"/>
  <c r="A120" i="13"/>
  <c r="A89" i="13"/>
  <c r="A119" i="13"/>
  <c r="A118" i="13"/>
  <c r="A88" i="13"/>
  <c r="A110" i="13"/>
  <c r="A80" i="13"/>
  <c r="A78" i="13"/>
  <c r="A108" i="13"/>
  <c r="A104" i="13"/>
  <c r="A74" i="13"/>
  <c r="S88" i="16"/>
  <c r="S254" i="16"/>
  <c r="S366" i="16"/>
  <c r="S452" i="16"/>
  <c r="S518" i="16"/>
  <c r="S561" i="16"/>
  <c r="S604" i="16"/>
  <c r="S662" i="16"/>
  <c r="S705" i="16"/>
  <c r="S747" i="16"/>
  <c r="S790" i="16"/>
  <c r="S833" i="16"/>
  <c r="S875" i="16"/>
  <c r="S914" i="16"/>
  <c r="S949" i="16"/>
  <c r="S976" i="16"/>
  <c r="S997" i="16"/>
  <c r="S1019" i="16"/>
  <c r="S1040" i="16"/>
  <c r="S1061" i="16"/>
  <c r="S1083" i="16"/>
  <c r="S1104" i="16"/>
  <c r="S1125" i="16"/>
  <c r="S1147" i="16"/>
  <c r="S1168" i="16"/>
  <c r="S1189" i="16"/>
  <c r="S1211" i="16"/>
  <c r="S1232" i="16"/>
  <c r="S1253" i="16"/>
  <c r="S1275" i="16"/>
  <c r="S1296" i="16"/>
  <c r="S1317" i="16"/>
  <c r="S1339" i="16"/>
  <c r="S1360" i="16"/>
  <c r="S1381" i="16"/>
  <c r="S1403" i="16"/>
  <c r="S1413" i="16"/>
  <c r="S1424" i="16"/>
  <c r="S1435" i="16"/>
  <c r="S1445" i="16"/>
  <c r="S1456" i="16"/>
  <c r="S1467" i="16"/>
  <c r="S1477" i="16"/>
  <c r="S1488" i="16"/>
  <c r="S1499" i="16"/>
  <c r="S1509" i="16"/>
  <c r="S1520" i="16"/>
  <c r="S1531" i="16"/>
  <c r="S1536" i="16"/>
  <c r="S1541" i="16"/>
  <c r="S1547" i="16"/>
  <c r="S1552" i="16"/>
  <c r="S1557" i="16"/>
  <c r="S1563" i="16"/>
  <c r="S1568" i="16"/>
  <c r="S1573" i="16"/>
  <c r="S1579" i="16"/>
  <c r="S1584" i="16"/>
  <c r="S1589" i="16"/>
  <c r="S1595" i="16"/>
  <c r="S1600" i="16"/>
  <c r="S1605" i="16"/>
  <c r="S1611" i="16"/>
  <c r="S1616" i="16"/>
  <c r="S1621" i="16"/>
  <c r="S1627" i="16"/>
  <c r="S1632" i="16"/>
  <c r="S1637" i="16"/>
  <c r="S1643" i="16"/>
  <c r="S1648" i="16"/>
  <c r="S1653" i="16"/>
  <c r="S1659" i="16"/>
  <c r="S1664" i="16"/>
  <c r="S1669" i="16"/>
  <c r="S1675" i="16"/>
  <c r="S1680" i="16"/>
  <c r="S1685" i="16"/>
  <c r="S1691" i="16"/>
  <c r="S1696" i="16"/>
  <c r="S1701" i="16"/>
  <c r="S1707" i="16"/>
  <c r="S1712" i="16"/>
  <c r="S1717" i="16"/>
  <c r="S1723" i="16"/>
  <c r="S1728" i="16"/>
  <c r="S1733" i="16"/>
  <c r="S1739" i="16"/>
  <c r="S1744" i="16"/>
  <c r="S1749" i="16"/>
  <c r="S1755" i="16"/>
  <c r="S1760" i="16"/>
  <c r="S1765" i="16"/>
  <c r="S1771" i="16"/>
  <c r="S1776" i="16"/>
  <c r="S1781" i="16"/>
  <c r="S1787" i="16"/>
  <c r="S1792" i="16"/>
  <c r="S1797" i="16"/>
  <c r="S1803" i="16"/>
  <c r="S1808" i="16"/>
  <c r="S1813" i="16"/>
  <c r="S1819" i="16"/>
  <c r="S1824" i="16"/>
  <c r="S1829" i="16"/>
  <c r="S1833" i="16"/>
  <c r="S1837" i="16"/>
  <c r="S1839" i="16"/>
  <c r="S1843" i="16"/>
  <c r="S1847" i="16"/>
  <c r="S1851" i="16"/>
  <c r="S1855" i="16"/>
  <c r="S1859" i="16"/>
  <c r="S1863" i="16"/>
  <c r="S1867" i="16"/>
  <c r="S1871" i="16"/>
  <c r="S1875" i="16"/>
  <c r="S1879" i="16"/>
  <c r="S1883" i="16"/>
  <c r="S1887" i="16"/>
  <c r="S1891" i="16"/>
  <c r="S1895" i="16"/>
  <c r="S1899" i="16"/>
  <c r="S1903" i="16"/>
  <c r="S1907" i="16"/>
  <c r="S1911" i="16"/>
  <c r="S1915" i="16"/>
  <c r="S1919" i="16"/>
  <c r="S1923" i="16"/>
  <c r="S1927" i="16"/>
  <c r="S1931" i="16"/>
  <c r="S1935" i="16"/>
  <c r="S1939" i="16"/>
  <c r="S1943" i="16"/>
  <c r="S1947" i="16"/>
  <c r="S1951" i="16"/>
  <c r="S1955" i="16"/>
  <c r="S1959" i="16"/>
  <c r="S1963" i="16"/>
  <c r="S1967" i="16"/>
  <c r="S1971" i="16"/>
  <c r="S1975" i="16"/>
  <c r="S1979" i="16"/>
  <c r="S1983" i="16"/>
  <c r="S1987" i="16"/>
  <c r="S1991" i="16"/>
  <c r="S1995" i="16"/>
  <c r="S1999" i="16"/>
  <c r="S2003" i="16"/>
  <c r="S2007" i="16"/>
  <c r="S2011" i="16"/>
  <c r="S2015" i="16"/>
  <c r="S2019" i="16"/>
  <c r="S2023" i="16"/>
  <c r="S2027" i="16"/>
  <c r="S2031" i="16"/>
  <c r="S2035" i="16"/>
  <c r="S2039" i="16"/>
  <c r="S2043" i="16"/>
  <c r="S2047" i="16"/>
  <c r="S2051" i="16"/>
  <c r="S2055" i="16"/>
  <c r="S2059" i="16"/>
  <c r="S2063" i="16"/>
  <c r="S2067" i="16"/>
  <c r="S2071" i="16"/>
  <c r="S2075" i="16"/>
  <c r="S2079" i="16"/>
  <c r="S2083" i="16"/>
  <c r="S2087" i="16"/>
  <c r="S2091" i="16"/>
  <c r="S2095" i="16"/>
  <c r="S2099" i="16"/>
  <c r="S2103" i="16"/>
  <c r="S2107" i="16"/>
  <c r="S2111" i="16"/>
  <c r="S2115" i="16"/>
  <c r="S2119" i="16"/>
  <c r="S2123" i="16"/>
  <c r="S2127" i="16"/>
  <c r="S2131" i="16"/>
  <c r="S2135" i="16"/>
  <c r="S2139" i="16"/>
  <c r="S2143" i="16"/>
  <c r="S2147" i="16"/>
  <c r="S2151" i="16"/>
  <c r="S2155" i="16"/>
  <c r="S2159" i="16"/>
  <c r="S2163" i="16"/>
  <c r="S2167" i="16"/>
  <c r="S2171" i="16"/>
  <c r="S2175" i="16"/>
  <c r="S2179" i="16"/>
  <c r="S2183" i="16"/>
  <c r="S2187" i="16"/>
  <c r="S2191" i="16"/>
  <c r="S2195" i="16"/>
  <c r="S2199" i="16"/>
  <c r="S2203" i="16"/>
  <c r="S2207" i="16"/>
  <c r="S2211" i="16"/>
  <c r="S2215" i="16"/>
  <c r="S2219" i="16"/>
  <c r="S2223" i="16"/>
  <c r="S2227" i="16"/>
  <c r="S2231" i="16"/>
  <c r="S2235" i="16"/>
  <c r="S2239" i="16"/>
  <c r="S2243" i="16"/>
  <c r="S2247" i="16"/>
  <c r="S2251" i="16"/>
  <c r="S2255" i="16"/>
  <c r="S2259" i="16"/>
  <c r="S2263" i="16"/>
  <c r="S2267" i="16"/>
  <c r="S2271" i="16"/>
  <c r="S2275" i="16"/>
  <c r="S2279" i="16"/>
  <c r="S2283" i="16"/>
  <c r="S2287" i="16"/>
  <c r="S2291" i="16"/>
  <c r="S2295" i="16"/>
  <c r="S2299" i="16"/>
  <c r="S2303" i="16"/>
  <c r="S2307" i="16"/>
  <c r="S2309" i="16"/>
  <c r="S2310" i="16"/>
  <c r="G2310" i="16" s="1"/>
  <c r="S2311" i="16"/>
  <c r="S2312" i="16"/>
  <c r="E2312" i="16" s="1"/>
  <c r="S2313" i="16"/>
  <c r="S2314" i="16"/>
  <c r="E2314" i="16" s="1"/>
  <c r="S2315" i="16"/>
  <c r="S2316" i="16"/>
  <c r="G2316" i="16" s="1"/>
  <c r="S2317" i="16"/>
  <c r="S2318" i="16"/>
  <c r="E2318" i="16" s="1"/>
  <c r="S2319" i="16"/>
  <c r="E2319" i="16" s="1"/>
  <c r="S2320" i="16"/>
  <c r="D2320" i="16" s="1"/>
  <c r="S2321" i="16"/>
  <c r="S2322" i="16"/>
  <c r="I2322" i="16" s="1"/>
  <c r="S2323" i="16"/>
  <c r="S2324" i="16"/>
  <c r="J2324" i="16" s="1"/>
  <c r="S2325" i="16"/>
  <c r="H2325" i="16" s="1"/>
  <c r="S2326" i="16"/>
  <c r="J2326" i="16" s="1"/>
  <c r="S2327" i="16"/>
  <c r="S2328" i="16"/>
  <c r="G2328" i="16" s="1"/>
  <c r="S2329" i="16"/>
  <c r="S2330" i="16"/>
  <c r="E2330" i="16" s="1"/>
  <c r="S2331" i="16"/>
  <c r="F2331" i="16" s="1"/>
  <c r="S2332" i="16"/>
  <c r="J2332" i="16" s="1"/>
  <c r="S2333" i="16"/>
  <c r="H2333" i="16" s="1"/>
  <c r="S2334" i="16"/>
  <c r="J2334" i="16" s="1"/>
  <c r="S2335" i="16"/>
  <c r="J2335" i="16" s="1"/>
  <c r="S2336" i="16"/>
  <c r="F2336" i="16" s="1"/>
  <c r="S2337" i="16"/>
  <c r="J2337" i="16" s="1"/>
  <c r="S2338" i="16"/>
  <c r="I2338" i="16" s="1"/>
  <c r="S2339" i="16"/>
  <c r="S2340" i="16"/>
  <c r="H2340" i="16" s="1"/>
  <c r="S2341" i="16"/>
  <c r="D2341" i="16" s="1"/>
  <c r="S2342" i="16"/>
  <c r="D2342" i="16" s="1"/>
  <c r="S2343" i="16"/>
  <c r="G2343" i="16" s="1"/>
  <c r="S2344" i="16"/>
  <c r="F2344" i="16" s="1"/>
  <c r="S2345" i="16"/>
  <c r="I2345" i="16" s="1"/>
  <c r="S2346" i="16"/>
  <c r="H2346" i="16" s="1"/>
  <c r="S2347" i="16"/>
  <c r="E2347" i="16" s="1"/>
  <c r="S2348" i="16"/>
  <c r="I2348" i="16" s="1"/>
  <c r="S2349" i="16"/>
  <c r="G2349" i="16" s="1"/>
  <c r="S2350" i="16"/>
  <c r="G2350" i="16" s="1"/>
  <c r="S2351" i="16"/>
  <c r="S2352" i="16"/>
  <c r="D2352" i="16" s="1"/>
  <c r="S2353" i="16"/>
  <c r="S2354" i="16"/>
  <c r="J2354" i="16" s="1"/>
  <c r="S2355" i="16"/>
  <c r="J2355" i="16" s="1"/>
  <c r="S2356" i="16"/>
  <c r="F2356" i="16" s="1"/>
  <c r="S2357" i="16"/>
  <c r="I2357" i="16" s="1"/>
  <c r="S2358" i="16"/>
  <c r="E2358" i="16" s="1"/>
  <c r="S2359" i="16"/>
  <c r="S2360" i="16"/>
  <c r="E2360" i="16" s="1"/>
  <c r="S2361" i="16"/>
  <c r="D2361" i="16" s="1"/>
  <c r="S2362" i="16"/>
  <c r="E2362" i="16" s="1"/>
  <c r="S2363" i="16"/>
  <c r="S2364" i="16"/>
  <c r="E2364" i="16" s="1"/>
  <c r="S2365" i="16"/>
  <c r="S2366" i="16"/>
  <c r="G2366" i="16" s="1"/>
  <c r="S2367" i="16"/>
  <c r="S2368" i="16"/>
  <c r="D2368" i="16" s="1"/>
  <c r="S2369" i="16"/>
  <c r="S2370" i="16"/>
  <c r="F2370" i="16" s="1"/>
  <c r="S2371" i="16"/>
  <c r="I2371" i="16" s="1"/>
  <c r="S2372" i="16"/>
  <c r="D2372" i="16" s="1"/>
  <c r="S2373" i="16"/>
  <c r="S2374" i="16"/>
  <c r="H2374" i="16" s="1"/>
  <c r="S2375" i="16"/>
  <c r="S2376" i="16"/>
  <c r="J2376" i="16" s="1"/>
  <c r="S2377" i="16"/>
  <c r="S2378" i="16"/>
  <c r="D2378" i="16" s="1"/>
  <c r="S2379" i="16"/>
  <c r="E2379" i="16" s="1"/>
  <c r="S2380" i="16"/>
  <c r="D2380" i="16" s="1"/>
  <c r="S2381" i="16"/>
  <c r="S2382" i="16"/>
  <c r="G2382" i="16" s="1"/>
  <c r="S2383" i="16"/>
  <c r="H2383" i="16" s="1"/>
  <c r="S2384" i="16"/>
  <c r="F2384" i="16" s="1"/>
  <c r="S2385" i="16"/>
  <c r="S2386" i="16"/>
  <c r="F2386" i="16" s="1"/>
  <c r="S2387" i="16"/>
  <c r="S2388" i="16"/>
  <c r="E2388" i="16" s="1"/>
  <c r="S2389" i="16"/>
  <c r="S2390" i="16"/>
  <c r="H2390" i="16" s="1"/>
  <c r="S2391" i="16"/>
  <c r="S2392" i="16"/>
  <c r="I2392" i="16" s="1"/>
  <c r="S2393" i="16"/>
  <c r="E2393" i="16" s="1"/>
  <c r="S2394" i="16"/>
  <c r="J2394" i="16" s="1"/>
  <c r="S2395" i="16"/>
  <c r="E2395" i="16" s="1"/>
  <c r="S2396" i="16"/>
  <c r="G2396" i="16" s="1"/>
  <c r="S2397" i="16"/>
  <c r="F2397" i="16" s="1"/>
  <c r="S2398" i="16"/>
  <c r="D2398" i="16" s="1"/>
  <c r="S2399" i="16"/>
  <c r="E2399" i="16" s="1"/>
  <c r="S2400" i="16"/>
  <c r="D2400" i="16" s="1"/>
  <c r="S2401" i="16"/>
  <c r="D2401" i="16" s="1"/>
  <c r="S2402" i="16"/>
  <c r="J2402" i="16" s="1"/>
  <c r="S2403" i="16"/>
  <c r="S2404" i="16"/>
  <c r="I2404" i="16" s="1"/>
  <c r="S2405" i="16"/>
  <c r="S2406" i="16"/>
  <c r="D2406" i="16" s="1"/>
  <c r="S2407" i="16"/>
  <c r="S2408" i="16"/>
  <c r="E2408" i="16" s="1"/>
  <c r="S2409" i="16"/>
  <c r="E2409" i="16" s="1"/>
  <c r="S2410" i="16"/>
  <c r="E2410" i="16" s="1"/>
  <c r="S2411" i="16"/>
  <c r="E2411" i="16" s="1"/>
  <c r="S2412" i="16"/>
  <c r="G2412" i="16" s="1"/>
  <c r="S2413" i="16"/>
  <c r="S2414" i="16"/>
  <c r="H2414" i="16" s="1"/>
  <c r="S2415" i="16"/>
  <c r="J2415" i="16" s="1"/>
  <c r="S2416" i="16"/>
  <c r="E2416" i="16" s="1"/>
  <c r="S2417" i="16"/>
  <c r="D2417" i="16" s="1"/>
  <c r="S2418" i="16"/>
  <c r="J2418" i="16" s="1"/>
  <c r="S2419" i="16"/>
  <c r="S2420" i="16"/>
  <c r="D2420" i="16" s="1"/>
  <c r="S2421" i="16"/>
  <c r="S2422" i="16"/>
  <c r="D2422" i="16" s="1"/>
  <c r="S2423" i="16"/>
  <c r="S2424" i="16"/>
  <c r="J2424" i="16" s="1"/>
  <c r="B20" i="10"/>
  <c r="G20" i="10" s="1"/>
  <c r="H20" i="10" s="1"/>
  <c r="D20" i="10" s="1"/>
  <c r="B21" i="10"/>
  <c r="G21" i="10" s="1"/>
  <c r="H21" i="10" s="1"/>
  <c r="D21" i="10" s="1"/>
  <c r="B22" i="10"/>
  <c r="B23" i="10"/>
  <c r="F28" i="10" s="1"/>
  <c r="G23" i="10"/>
  <c r="H23" i="10" s="1"/>
  <c r="D23" i="10" s="1"/>
  <c r="B9" i="10"/>
  <c r="G9" i="10" s="1"/>
  <c r="H9" i="10" s="1"/>
  <c r="D9" i="10" s="1"/>
  <c r="B8" i="10"/>
  <c r="G8" i="10" s="1"/>
  <c r="H8" i="10" s="1"/>
  <c r="D8" i="10" s="1"/>
  <c r="B7" i="10"/>
  <c r="G7" i="10"/>
  <c r="H7" i="10" s="1"/>
  <c r="D7" i="10" s="1"/>
  <c r="B13" i="10"/>
  <c r="G13" i="10" s="1"/>
  <c r="H13" i="10" s="1"/>
  <c r="D13" i="10" s="1"/>
  <c r="P39" i="4"/>
  <c r="P40" i="4"/>
  <c r="P41" i="4"/>
  <c r="P38" i="4"/>
  <c r="B12" i="10"/>
  <c r="G12" i="10" s="1"/>
  <c r="H12" i="10" s="1"/>
  <c r="D12" i="10" s="1"/>
  <c r="G62" i="10"/>
  <c r="G61" i="10"/>
  <c r="B61" i="10"/>
  <c r="B31" i="10"/>
  <c r="G31" i="10"/>
  <c r="B32" i="10"/>
  <c r="G32" i="10" s="1"/>
  <c r="B33" i="10"/>
  <c r="G33" i="10" s="1"/>
  <c r="B30" i="10"/>
  <c r="G30" i="10" s="1"/>
  <c r="B11" i="10"/>
  <c r="G11" i="10" s="1"/>
  <c r="H11" i="10" s="1"/>
  <c r="D11" i="10" s="1"/>
  <c r="B10" i="10"/>
  <c r="G10" i="10" s="1"/>
  <c r="H10" i="10" s="1"/>
  <c r="D10" i="10" s="1"/>
  <c r="A225" i="13"/>
  <c r="P3" i="4"/>
  <c r="A2" i="13"/>
  <c r="A3" i="13"/>
  <c r="A6" i="13"/>
  <c r="A224" i="13"/>
  <c r="A5" i="13"/>
  <c r="A177" i="13"/>
  <c r="A179" i="13"/>
  <c r="A183" i="13"/>
  <c r="A182" i="13"/>
  <c r="A181" i="13"/>
  <c r="A180" i="13"/>
  <c r="A4" i="13"/>
  <c r="A145" i="13"/>
  <c r="A144" i="13"/>
  <c r="A143" i="13"/>
  <c r="A5" i="4"/>
  <c r="A142" i="13"/>
  <c r="A184" i="13"/>
  <c r="A185" i="13"/>
  <c r="A186" i="13"/>
  <c r="A187" i="13"/>
  <c r="A222" i="13"/>
  <c r="A227" i="13"/>
  <c r="A302" i="13"/>
  <c r="A159" i="13"/>
  <c r="A157" i="13"/>
  <c r="A153" i="13"/>
  <c r="A154" i="13"/>
  <c r="A155" i="13"/>
  <c r="A156" i="13"/>
  <c r="A148" i="13"/>
  <c r="B60" i="10"/>
  <c r="G60" i="10" s="1"/>
  <c r="B59" i="10"/>
  <c r="G59" i="10" s="1"/>
  <c r="B58" i="10"/>
  <c r="G58" i="10" s="1"/>
  <c r="B57" i="10"/>
  <c r="G57" i="10" s="1"/>
  <c r="B56" i="10"/>
  <c r="G56" i="10" s="1"/>
  <c r="B55" i="10"/>
  <c r="G55" i="10" s="1"/>
  <c r="B54" i="10"/>
  <c r="G54" i="10" s="1"/>
  <c r="B53" i="10"/>
  <c r="G53" i="10" s="1"/>
  <c r="B50" i="10"/>
  <c r="G50" i="10" s="1"/>
  <c r="B48" i="10"/>
  <c r="G48" i="10"/>
  <c r="B47" i="10"/>
  <c r="G47" i="10" s="1"/>
  <c r="B46" i="10"/>
  <c r="G46" i="10" s="1"/>
  <c r="B45" i="10"/>
  <c r="G45" i="10" s="1"/>
  <c r="B43" i="10"/>
  <c r="G43" i="10" s="1"/>
  <c r="B42" i="10"/>
  <c r="G42" i="10" s="1"/>
  <c r="B41" i="10"/>
  <c r="G41" i="10" s="1"/>
  <c r="B40" i="10"/>
  <c r="G40" i="10" s="1"/>
  <c r="B38" i="10"/>
  <c r="G38" i="10"/>
  <c r="B37" i="10"/>
  <c r="G37" i="10"/>
  <c r="B36" i="10"/>
  <c r="G36" i="10"/>
  <c r="B35" i="10"/>
  <c r="G35" i="10" s="1"/>
  <c r="B28" i="10"/>
  <c r="G28" i="10" s="1"/>
  <c r="B27" i="10"/>
  <c r="G27" i="10"/>
  <c r="B26" i="10"/>
  <c r="G26" i="10"/>
  <c r="B25" i="10"/>
  <c r="G25" i="10"/>
  <c r="H14" i="10"/>
  <c r="A301" i="13"/>
  <c r="A300" i="13"/>
  <c r="A299" i="13"/>
  <c r="A298" i="13"/>
  <c r="A233" i="13"/>
  <c r="A232" i="13"/>
  <c r="A231" i="13"/>
  <c r="A230" i="13"/>
  <c r="A229" i="13"/>
  <c r="A228" i="13"/>
  <c r="A226" i="13"/>
  <c r="A223" i="13"/>
  <c r="A221" i="13"/>
  <c r="A220" i="13"/>
  <c r="A219" i="13"/>
  <c r="A218" i="13"/>
  <c r="A217" i="13"/>
  <c r="A216" i="13"/>
  <c r="A215" i="13"/>
  <c r="A214" i="13"/>
  <c r="A213" i="13"/>
  <c r="A212" i="13"/>
  <c r="A211" i="13"/>
  <c r="A210" i="13"/>
  <c r="A203" i="13"/>
  <c r="A201" i="13"/>
  <c r="A202" i="13"/>
  <c r="A199" i="13"/>
  <c r="A204" i="13"/>
  <c r="A198" i="13"/>
  <c r="A188" i="13"/>
  <c r="A178" i="13"/>
  <c r="A176" i="13"/>
  <c r="A175" i="13"/>
  <c r="A174" i="13"/>
  <c r="A173" i="13"/>
  <c r="A172" i="13"/>
  <c r="A171" i="13"/>
  <c r="A170" i="13"/>
  <c r="A169" i="13"/>
  <c r="A168" i="13"/>
  <c r="A167" i="13"/>
  <c r="A166" i="13"/>
  <c r="A165" i="13"/>
  <c r="A164" i="13"/>
  <c r="A163" i="13"/>
  <c r="A162" i="13"/>
  <c r="A161" i="13"/>
  <c r="A160" i="13"/>
  <c r="A158" i="13"/>
  <c r="A152" i="13"/>
  <c r="A151" i="13"/>
  <c r="A150" i="13"/>
  <c r="A149" i="13"/>
  <c r="A147" i="13"/>
  <c r="A141" i="13"/>
  <c r="A140" i="13"/>
  <c r="A139" i="13"/>
  <c r="A138" i="13"/>
  <c r="A137" i="13"/>
  <c r="A133" i="13"/>
  <c r="A132" i="13"/>
  <c r="A131" i="13"/>
  <c r="A130" i="13"/>
  <c r="A128" i="13"/>
  <c r="A127" i="13"/>
  <c r="A126" i="13"/>
  <c r="A125" i="13"/>
  <c r="A124" i="13"/>
  <c r="A117" i="13"/>
  <c r="A116" i="13"/>
  <c r="A115" i="13"/>
  <c r="A114" i="13"/>
  <c r="A113" i="13"/>
  <c r="A112" i="13"/>
  <c r="A111" i="13"/>
  <c r="A109" i="13"/>
  <c r="A107" i="13"/>
  <c r="A106" i="13"/>
  <c r="A105" i="13"/>
  <c r="A103" i="13"/>
  <c r="A102" i="13"/>
  <c r="A101" i="13"/>
  <c r="A100" i="13"/>
  <c r="A98" i="13"/>
  <c r="A97" i="13"/>
  <c r="A96" i="13"/>
  <c r="A95" i="13"/>
  <c r="A94" i="13"/>
  <c r="A87" i="13"/>
  <c r="A86" i="13"/>
  <c r="A85" i="13"/>
  <c r="A84" i="13"/>
  <c r="A83" i="13"/>
  <c r="A82" i="13"/>
  <c r="A81" i="13"/>
  <c r="A79" i="13"/>
  <c r="A77" i="13"/>
  <c r="A76" i="13"/>
  <c r="A75" i="13"/>
  <c r="A73" i="13"/>
  <c r="A72" i="13"/>
  <c r="A71" i="13"/>
  <c r="A70" i="13"/>
  <c r="A69" i="13"/>
  <c r="A68" i="13"/>
  <c r="A67" i="13"/>
  <c r="A66" i="13"/>
  <c r="A64" i="13"/>
  <c r="A62" i="13"/>
  <c r="A61" i="13"/>
  <c r="A60" i="13"/>
  <c r="A59" i="13"/>
  <c r="A58" i="13"/>
  <c r="A57" i="13"/>
  <c r="A56" i="13"/>
  <c r="A55" i="13"/>
  <c r="A52" i="13"/>
  <c r="A51" i="13"/>
  <c r="A50" i="13"/>
  <c r="A49" i="13"/>
  <c r="A48" i="13"/>
  <c r="A47" i="13"/>
  <c r="A46" i="13"/>
  <c r="A45" i="13"/>
  <c r="A44" i="13"/>
  <c r="A43" i="13"/>
  <c r="A42" i="13"/>
  <c r="A41" i="13"/>
  <c r="A40" i="13"/>
  <c r="A39" i="13"/>
  <c r="A38" i="13"/>
  <c r="A37" i="13"/>
  <c r="A36" i="13"/>
  <c r="A35" i="13"/>
  <c r="A34" i="13"/>
  <c r="A33" i="13"/>
  <c r="A31" i="13"/>
  <c r="A30" i="13"/>
  <c r="A29" i="13"/>
  <c r="A27" i="13"/>
  <c r="A26" i="13"/>
  <c r="A25" i="13"/>
  <c r="A24" i="13"/>
  <c r="A23" i="13"/>
  <c r="A22" i="13"/>
  <c r="A21" i="13"/>
  <c r="A20" i="13"/>
  <c r="A13" i="13"/>
  <c r="A12" i="13"/>
  <c r="A10" i="13"/>
  <c r="I31" i="10" s="1"/>
  <c r="A9" i="13"/>
  <c r="A8" i="13"/>
  <c r="B25" i="3" s="1"/>
  <c r="A7" i="13"/>
  <c r="S8" i="16"/>
  <c r="S6" i="16"/>
  <c r="H61" i="4"/>
  <c r="H68" i="4"/>
  <c r="F25" i="10"/>
  <c r="B4" i="14"/>
  <c r="I68" i="4"/>
  <c r="A11" i="2"/>
  <c r="A2" i="2"/>
  <c r="A3" i="2"/>
  <c r="A16" i="2"/>
  <c r="A9" i="2"/>
  <c r="C10" i="3"/>
  <c r="A4" i="2"/>
  <c r="B21" i="4"/>
  <c r="A12" i="10" s="1"/>
  <c r="I4" i="14"/>
  <c r="C5" i="3"/>
  <c r="A58" i="2"/>
  <c r="B18" i="4"/>
  <c r="A10" i="10" s="1"/>
  <c r="P4" i="16"/>
  <c r="I5" i="10"/>
  <c r="A1" i="11"/>
  <c r="D25" i="4"/>
  <c r="D43" i="4" s="1"/>
  <c r="J22" i="10"/>
  <c r="I7" i="10"/>
  <c r="A57" i="2"/>
  <c r="A47" i="2"/>
  <c r="J9" i="10"/>
  <c r="I57" i="10"/>
  <c r="A76" i="2"/>
  <c r="B22" i="4"/>
  <c r="A13" i="10" s="1"/>
  <c r="A65" i="2"/>
  <c r="C5" i="11"/>
  <c r="A63" i="2"/>
  <c r="I63" i="10"/>
  <c r="B16" i="4"/>
  <c r="A8" i="10" s="1"/>
  <c r="L63" i="10"/>
  <c r="L64" i="10"/>
  <c r="I35" i="10"/>
  <c r="B4" i="3"/>
  <c r="A36" i="2"/>
  <c r="I62" i="10"/>
  <c r="J20" i="10"/>
  <c r="D2" i="4"/>
  <c r="A45" i="2"/>
  <c r="I52" i="10"/>
  <c r="B8" i="3"/>
  <c r="J65" i="10"/>
  <c r="A62" i="2"/>
  <c r="A10" i="2"/>
  <c r="C15" i="3"/>
  <c r="I17" i="10"/>
  <c r="B20" i="4"/>
  <c r="A11" i="10" s="1"/>
  <c r="G4" i="16"/>
  <c r="I25" i="10"/>
  <c r="L65" i="10"/>
  <c r="B22" i="3"/>
  <c r="J4" i="10"/>
  <c r="J31" i="10"/>
  <c r="A78" i="2"/>
  <c r="J35" i="10"/>
  <c r="D2309" i="16"/>
  <c r="E2372" i="16"/>
  <c r="E2350" i="16"/>
  <c r="D2359" i="16"/>
  <c r="D2346" i="16"/>
  <c r="E2391" i="16"/>
  <c r="J2375" i="16"/>
  <c r="D2391" i="16"/>
  <c r="H2387" i="16"/>
  <c r="F2411" i="16"/>
  <c r="E2387" i="16"/>
  <c r="F2391" i="16"/>
  <c r="G2423" i="16"/>
  <c r="G2415" i="16"/>
  <c r="D2383" i="16"/>
  <c r="E2383" i="16"/>
  <c r="G2391" i="16"/>
  <c r="F2367" i="16"/>
  <c r="E2326" i="16"/>
  <c r="G2318" i="16"/>
  <c r="H2388" i="16"/>
  <c r="G2337" i="16"/>
  <c r="G2321" i="16"/>
  <c r="D2321" i="16"/>
  <c r="I2309" i="16"/>
  <c r="F2388" i="16"/>
  <c r="F2423" i="16"/>
  <c r="I2415" i="16"/>
  <c r="F2387" i="16"/>
  <c r="I2379" i="16"/>
  <c r="D2379" i="16"/>
  <c r="J2315" i="16"/>
  <c r="I2402" i="16"/>
  <c r="E2386" i="16"/>
  <c r="I2339" i="16"/>
  <c r="D2339" i="16"/>
  <c r="G2339" i="16"/>
  <c r="H2339" i="16"/>
  <c r="E2339" i="16"/>
  <c r="D2362" i="16"/>
  <c r="F2339" i="16"/>
  <c r="J2339" i="16"/>
  <c r="G2332" i="16"/>
  <c r="I2398" i="16"/>
  <c r="F2355" i="16"/>
  <c r="I2355" i="16"/>
  <c r="D2355" i="16"/>
  <c r="E2355" i="16"/>
  <c r="G2355" i="16"/>
  <c r="E2348" i="16"/>
  <c r="J2329" i="16"/>
  <c r="H2329" i="16"/>
  <c r="I2329" i="16"/>
  <c r="E2329" i="16"/>
  <c r="D2329" i="16"/>
  <c r="H2362" i="16"/>
  <c r="H2355" i="16"/>
  <c r="E2341" i="16"/>
  <c r="H2341" i="16"/>
  <c r="G2395" i="16"/>
  <c r="I2395" i="16"/>
  <c r="D2407" i="16"/>
  <c r="H2363" i="16"/>
  <c r="H2379" i="16"/>
  <c r="J2358" i="16"/>
  <c r="F2415" i="16"/>
  <c r="D2415" i="16"/>
  <c r="E2415" i="16"/>
  <c r="H2415" i="16"/>
  <c r="H2396" i="16"/>
  <c r="I2388" i="16"/>
  <c r="G2407" i="16"/>
  <c r="F2351" i="16"/>
  <c r="J2347" i="16"/>
  <c r="I2407" i="16"/>
  <c r="H2336" i="16"/>
  <c r="E2407" i="16"/>
  <c r="H2407" i="16"/>
  <c r="H2410" i="16"/>
  <c r="F2422" i="16"/>
  <c r="G2347" i="16"/>
  <c r="J2351" i="16"/>
  <c r="G2388" i="16"/>
  <c r="I2394" i="16"/>
  <c r="F2326" i="16"/>
  <c r="J2350" i="16"/>
  <c r="H2312" i="16"/>
  <c r="I2377" i="16"/>
  <c r="F2377" i="16"/>
  <c r="F2421" i="16"/>
  <c r="E2421" i="16"/>
  <c r="D2421" i="16"/>
  <c r="I2421" i="16"/>
  <c r="J2421" i="16"/>
  <c r="H2421" i="16"/>
  <c r="G2421" i="16"/>
  <c r="G2417" i="16"/>
  <c r="D2413" i="16"/>
  <c r="I2405" i="16"/>
  <c r="D2405" i="16"/>
  <c r="G2405" i="16"/>
  <c r="H2405" i="16"/>
  <c r="F2405" i="16"/>
  <c r="I2401" i="16"/>
  <c r="D2393" i="16"/>
  <c r="J2389" i="16"/>
  <c r="G2389" i="16"/>
  <c r="I2389" i="16"/>
  <c r="D2373" i="16"/>
  <c r="H2373" i="16"/>
  <c r="J2373" i="16"/>
  <c r="F2373" i="16"/>
  <c r="G2373" i="16"/>
  <c r="E2373" i="16"/>
  <c r="I2373" i="16"/>
  <c r="G2369" i="16"/>
  <c r="I2369" i="16"/>
  <c r="E2369" i="16"/>
  <c r="F2369" i="16"/>
  <c r="J2369" i="16"/>
  <c r="D2369" i="16"/>
  <c r="H2369" i="16"/>
  <c r="F2361" i="16"/>
  <c r="E2357" i="16"/>
  <c r="F2342" i="16"/>
  <c r="F2327" i="16"/>
  <c r="G2327" i="16"/>
  <c r="D2323" i="16"/>
  <c r="G2323" i="16"/>
  <c r="F2323" i="16"/>
  <c r="H2323" i="16"/>
  <c r="E2323" i="16"/>
  <c r="J2323" i="16"/>
  <c r="F2319" i="16"/>
  <c r="J2319" i="16"/>
  <c r="H2319" i="16"/>
  <c r="D2319" i="16"/>
  <c r="G2319" i="16"/>
  <c r="I2319" i="16"/>
  <c r="F2315" i="16"/>
  <c r="I2315" i="16"/>
  <c r="D2315" i="16"/>
  <c r="E2315" i="16"/>
  <c r="H2315" i="16"/>
  <c r="G2315" i="16"/>
  <c r="F2311" i="16"/>
  <c r="I2311" i="16"/>
  <c r="H2311" i="16"/>
  <c r="D2311" i="16"/>
  <c r="J2311" i="16"/>
  <c r="E2311" i="16"/>
  <c r="I2323" i="16"/>
  <c r="G2311" i="16"/>
  <c r="I2403" i="16"/>
  <c r="J2399" i="16"/>
  <c r="H2391" i="16"/>
  <c r="I2391" i="16"/>
  <c r="J2391" i="16"/>
  <c r="J2387" i="16"/>
  <c r="D2387" i="16"/>
  <c r="E2367" i="16"/>
  <c r="G2367" i="16"/>
  <c r="F2359" i="16"/>
  <c r="J2359" i="16"/>
  <c r="G2333" i="16"/>
  <c r="G2329" i="16"/>
  <c r="F2329" i="16"/>
  <c r="F2313" i="16"/>
  <c r="H2313" i="16"/>
  <c r="J2362" i="16"/>
  <c r="G2386" i="16"/>
  <c r="G2372" i="16"/>
  <c r="E2321" i="16"/>
  <c r="J2321" i="16"/>
  <c r="I2317" i="16"/>
  <c r="H2321" i="16"/>
  <c r="I2321" i="16"/>
  <c r="F2321" i="16"/>
  <c r="I2325" i="16"/>
  <c r="D2412" i="16"/>
  <c r="F2378" i="16"/>
  <c r="I2378" i="16"/>
  <c r="D2363" i="16"/>
  <c r="G2363" i="16"/>
  <c r="J2363" i="16"/>
  <c r="I2363" i="16"/>
  <c r="J2353" i="16"/>
  <c r="E2353" i="16"/>
  <c r="J2331" i="16"/>
  <c r="D2331" i="16"/>
  <c r="E2400" i="16"/>
  <c r="E2331" i="16"/>
  <c r="F2420" i="16"/>
  <c r="E2390" i="16"/>
  <c r="G2374" i="16"/>
  <c r="J2356" i="16"/>
  <c r="J2349" i="16"/>
  <c r="E2342" i="16"/>
  <c r="I2342" i="16"/>
  <c r="D2327" i="16"/>
  <c r="I2327" i="16"/>
  <c r="J2327" i="16"/>
  <c r="E2327" i="16"/>
  <c r="H2327" i="16"/>
  <c r="I2324" i="16"/>
  <c r="E2405" i="16"/>
  <c r="J2405" i="16"/>
  <c r="G2313" i="16"/>
  <c r="D2423" i="16"/>
  <c r="H2423" i="16"/>
  <c r="J2423" i="16"/>
  <c r="E2423" i="16"/>
  <c r="I2423" i="16"/>
  <c r="F2416" i="16"/>
  <c r="F2381" i="16"/>
  <c r="I2381" i="16"/>
  <c r="D2381" i="16"/>
  <c r="G2370" i="16"/>
  <c r="H2343" i="16"/>
  <c r="I2343" i="16"/>
  <c r="F2332" i="16"/>
  <c r="J2395" i="16"/>
  <c r="F2392" i="16"/>
  <c r="I2383" i="16"/>
  <c r="G2383" i="16"/>
  <c r="F2383" i="16"/>
  <c r="J2383" i="16"/>
  <c r="E2359" i="16"/>
  <c r="I2359" i="16"/>
  <c r="I2312" i="16"/>
  <c r="F2341" i="16"/>
  <c r="G2341" i="16"/>
  <c r="J2344" i="16"/>
  <c r="E2344" i="16"/>
  <c r="F2340" i="16"/>
  <c r="I2336" i="16"/>
  <c r="E2336" i="16"/>
  <c r="J2401" i="16"/>
  <c r="E2401" i="16"/>
  <c r="F2401" i="16"/>
  <c r="H2347" i="16"/>
  <c r="F2328" i="16"/>
  <c r="F2347" i="16"/>
  <c r="H2419" i="16"/>
  <c r="E2419" i="16"/>
  <c r="J2386" i="16"/>
  <c r="E2376" i="16"/>
  <c r="J2367" i="16"/>
  <c r="D2367" i="16"/>
  <c r="I2367" i="16"/>
  <c r="H2367" i="16"/>
  <c r="J2341" i="16"/>
  <c r="I2341" i="16"/>
  <c r="H2337" i="16"/>
  <c r="D2337" i="16"/>
  <c r="J2379" i="16"/>
  <c r="F2379" i="16"/>
  <c r="G2379" i="16"/>
  <c r="E2375" i="16"/>
  <c r="G2359" i="16"/>
  <c r="H2359" i="16"/>
  <c r="D2314" i="16"/>
  <c r="J2417" i="16"/>
  <c r="F2417" i="16"/>
  <c r="H2417" i="16"/>
  <c r="D2414" i="16"/>
  <c r="D2409" i="16"/>
  <c r="I2409" i="16"/>
  <c r="G2409" i="16"/>
  <c r="H2409" i="16"/>
  <c r="E2403" i="16"/>
  <c r="F2400" i="16"/>
  <c r="J2409" i="16"/>
  <c r="E2417" i="16"/>
  <c r="D2419" i="16"/>
  <c r="J2419" i="16"/>
  <c r="G2419" i="16"/>
  <c r="I2419" i="16"/>
  <c r="F2419" i="16"/>
  <c r="G2416" i="16"/>
  <c r="D2416" i="16"/>
  <c r="H2411" i="16"/>
  <c r="I2411" i="16"/>
  <c r="F2354" i="16"/>
  <c r="G2351" i="16"/>
  <c r="I2351" i="16"/>
  <c r="E2351" i="16"/>
  <c r="D2351" i="16"/>
  <c r="H2351" i="16"/>
  <c r="G2325" i="16"/>
  <c r="D2325" i="16"/>
  <c r="J2325" i="16"/>
  <c r="H2322" i="16"/>
  <c r="E2349" i="16"/>
  <c r="F2389" i="16"/>
  <c r="H2389" i="16"/>
  <c r="F2385" i="16"/>
  <c r="E2385" i="16"/>
  <c r="H2381" i="16"/>
  <c r="E2381" i="16"/>
  <c r="G2381" i="16"/>
  <c r="D2377" i="16"/>
  <c r="G2377" i="16"/>
  <c r="H2365" i="16"/>
  <c r="D2353" i="16"/>
  <c r="G2353" i="16"/>
  <c r="F2353" i="16"/>
  <c r="F2346" i="16"/>
  <c r="E2328" i="16"/>
  <c r="H2317" i="16"/>
  <c r="F2317" i="16"/>
  <c r="D2317" i="16"/>
  <c r="J2317" i="16"/>
  <c r="I2313" i="16"/>
  <c r="E2313" i="16"/>
  <c r="J2313" i="16"/>
  <c r="J2309" i="16"/>
  <c r="F2309" i="16"/>
  <c r="H2309" i="16"/>
  <c r="G2309" i="16"/>
  <c r="E2420" i="16"/>
  <c r="H2335" i="16"/>
  <c r="F2335" i="16"/>
  <c r="I2385" i="16"/>
  <c r="E2389" i="16"/>
  <c r="H2401" i="16"/>
  <c r="J2377" i="16"/>
  <c r="H2377" i="16"/>
  <c r="D2316" i="16"/>
  <c r="F2360" i="16"/>
  <c r="I2417" i="16"/>
  <c r="D2404" i="16"/>
  <c r="G2401" i="16"/>
  <c r="J2364" i="16"/>
  <c r="G2335" i="16"/>
  <c r="I2364" i="16"/>
  <c r="I2349" i="16"/>
  <c r="J2408" i="16"/>
  <c r="H2331" i="16"/>
  <c r="G2331" i="16"/>
  <c r="I2353" i="16"/>
  <c r="F2409" i="16"/>
  <c r="F2325" i="16"/>
  <c r="G2360" i="16"/>
  <c r="J2381" i="16"/>
  <c r="D2313" i="16"/>
  <c r="D2349" i="16"/>
  <c r="H2349" i="16"/>
  <c r="I2408" i="16"/>
  <c r="I2331" i="16"/>
  <c r="H2353" i="16"/>
  <c r="E2317" i="16"/>
  <c r="E2325" i="16"/>
  <c r="G2317" i="16"/>
  <c r="E2309" i="16"/>
  <c r="F2349" i="16"/>
  <c r="H2385" i="16"/>
  <c r="J2385" i="16"/>
  <c r="D2389" i="16"/>
  <c r="E2377" i="16"/>
  <c r="J2407" i="16"/>
  <c r="F2407" i="16"/>
  <c r="J2396" i="16"/>
  <c r="E2363" i="16"/>
  <c r="F2363" i="16"/>
  <c r="H2422" i="16"/>
  <c r="H2399" i="16"/>
  <c r="F2343" i="16"/>
  <c r="I2337" i="16"/>
  <c r="H2318" i="16"/>
  <c r="H2424" i="16"/>
  <c r="D2397" i="16"/>
  <c r="G2397" i="16"/>
  <c r="G2385" i="16"/>
  <c r="D2385" i="16"/>
  <c r="I2376" i="16"/>
  <c r="D2338" i="16"/>
  <c r="D2376" i="16"/>
  <c r="G2424" i="16"/>
  <c r="G2406" i="16"/>
  <c r="E2406" i="16"/>
  <c r="J2371" i="16"/>
  <c r="D2371" i="16"/>
  <c r="F2371" i="16"/>
  <c r="J2365" i="16"/>
  <c r="F2365" i="16"/>
  <c r="I2365" i="16"/>
  <c r="D2365" i="16"/>
  <c r="H2348" i="16"/>
  <c r="G2314" i="16"/>
  <c r="G2348" i="16"/>
  <c r="G2371" i="16"/>
  <c r="J2413" i="16"/>
  <c r="I2413" i="16"/>
  <c r="F2413" i="16"/>
  <c r="H2413" i="16"/>
  <c r="G2413" i="16"/>
  <c r="E2413" i="16"/>
  <c r="H2403" i="16"/>
  <c r="F2403" i="16"/>
  <c r="G2403" i="16"/>
  <c r="J2403" i="16"/>
  <c r="J2368" i="16"/>
  <c r="I2361" i="16"/>
  <c r="H2361" i="16"/>
  <c r="H2352" i="16"/>
  <c r="D2345" i="16"/>
  <c r="I2310" i="16"/>
  <c r="J2310" i="16"/>
  <c r="I2335" i="16"/>
  <c r="F2345" i="16"/>
  <c r="D2348" i="16"/>
  <c r="E2335" i="16"/>
  <c r="E2365" i="16"/>
  <c r="D2335" i="16"/>
  <c r="G2365" i="16"/>
  <c r="D2403" i="16"/>
  <c r="D2411" i="16"/>
  <c r="G2411" i="16"/>
  <c r="J2411" i="16"/>
  <c r="H2393" i="16"/>
  <c r="F2393" i="16"/>
  <c r="D2375" i="16"/>
  <c r="H2375" i="16"/>
  <c r="G2375" i="16"/>
  <c r="H2357" i="16"/>
  <c r="G2357" i="16"/>
  <c r="F2357" i="16"/>
  <c r="I2375" i="16"/>
  <c r="D2357" i="16"/>
  <c r="I2393" i="16"/>
  <c r="J2357" i="16"/>
  <c r="F2375" i="16"/>
  <c r="G2387" i="16"/>
  <c r="I2387" i="16"/>
  <c r="F2408" i="16" l="1"/>
  <c r="D2408" i="16"/>
  <c r="F2314" i="16"/>
  <c r="E2352" i="16"/>
  <c r="E2310" i="16"/>
  <c r="F2310" i="16"/>
  <c r="G2352" i="16"/>
  <c r="J2314" i="16"/>
  <c r="F2348" i="16"/>
  <c r="J2406" i="16"/>
  <c r="I2350" i="16"/>
  <c r="F2424" i="16"/>
  <c r="E2338" i="16"/>
  <c r="J2360" i="16"/>
  <c r="G2376" i="16"/>
  <c r="D2334" i="16"/>
  <c r="J2348" i="16"/>
  <c r="G2398" i="16"/>
  <c r="J2316" i="16"/>
  <c r="I2328" i="16"/>
  <c r="H2316" i="16"/>
  <c r="I2352" i="16"/>
  <c r="H2364" i="16"/>
  <c r="J2346" i="16"/>
  <c r="I2346" i="16"/>
  <c r="E2354" i="16"/>
  <c r="H2360" i="16"/>
  <c r="J2416" i="16"/>
  <c r="E2334" i="16"/>
  <c r="D2386" i="16"/>
  <c r="D2322" i="16"/>
  <c r="G2336" i="16"/>
  <c r="G2340" i="16"/>
  <c r="I2344" i="16"/>
  <c r="G2344" i="16"/>
  <c r="D2312" i="16"/>
  <c r="J2412" i="16"/>
  <c r="G2392" i="16"/>
  <c r="D2332" i="16"/>
  <c r="H2370" i="16"/>
  <c r="I2316" i="16"/>
  <c r="J2342" i="16"/>
  <c r="I2356" i="16"/>
  <c r="F2382" i="16"/>
  <c r="I2390" i="16"/>
  <c r="J2338" i="16"/>
  <c r="H2378" i="16"/>
  <c r="I2412" i="16"/>
  <c r="F2372" i="16"/>
  <c r="E2394" i="16"/>
  <c r="I2362" i="16"/>
  <c r="F2312" i="16"/>
  <c r="G2326" i="16"/>
  <c r="H2394" i="16"/>
  <c r="H2358" i="16"/>
  <c r="I2410" i="16"/>
  <c r="I2396" i="16"/>
  <c r="J2318" i="16"/>
  <c r="D2356" i="16"/>
  <c r="D2410" i="16"/>
  <c r="F2410" i="16"/>
  <c r="E2396" i="16"/>
  <c r="G2422" i="16"/>
  <c r="E2378" i="16"/>
  <c r="D2358" i="16"/>
  <c r="G2402" i="16"/>
  <c r="D2394" i="16"/>
  <c r="G2362" i="16"/>
  <c r="G2394" i="16"/>
  <c r="G2356" i="16"/>
  <c r="J2392" i="16"/>
  <c r="D2318" i="16"/>
  <c r="H2326" i="16"/>
  <c r="F2350" i="16"/>
  <c r="F2390" i="16"/>
  <c r="G2354" i="16"/>
  <c r="E2424" i="16"/>
  <c r="I2406" i="16"/>
  <c r="F2368" i="16"/>
  <c r="J2352" i="16"/>
  <c r="H2310" i="16"/>
  <c r="D2310" i="16"/>
  <c r="F2352" i="16"/>
  <c r="G2368" i="16"/>
  <c r="H2314" i="16"/>
  <c r="I2314" i="16"/>
  <c r="F2406" i="16"/>
  <c r="H2406" i="16"/>
  <c r="H2350" i="16"/>
  <c r="I2334" i="16"/>
  <c r="H2338" i="16"/>
  <c r="G2420" i="16"/>
  <c r="G2400" i="16"/>
  <c r="F2338" i="16"/>
  <c r="D2360" i="16"/>
  <c r="F2376" i="16"/>
  <c r="H2376" i="16"/>
  <c r="D2424" i="16"/>
  <c r="H2400" i="16"/>
  <c r="J2400" i="16"/>
  <c r="F2318" i="16"/>
  <c r="J2422" i="16"/>
  <c r="H2330" i="16"/>
  <c r="F2396" i="16"/>
  <c r="D2364" i="16"/>
  <c r="J2420" i="16"/>
  <c r="H2408" i="16"/>
  <c r="E2316" i="16"/>
  <c r="E2398" i="16"/>
  <c r="G2414" i="16"/>
  <c r="I2368" i="16"/>
  <c r="I2420" i="16"/>
  <c r="F2414" i="16"/>
  <c r="E2414" i="16"/>
  <c r="I2414" i="16"/>
  <c r="F2316" i="16"/>
  <c r="G2408" i="16"/>
  <c r="I2320" i="16"/>
  <c r="H2420" i="16"/>
  <c r="G2346" i="16"/>
  <c r="E2346" i="16"/>
  <c r="H2368" i="16"/>
  <c r="F2322" i="16"/>
  <c r="I2354" i="16"/>
  <c r="H2354" i="16"/>
  <c r="I2360" i="16"/>
  <c r="I2416" i="16"/>
  <c r="H2416" i="16"/>
  <c r="G2334" i="16"/>
  <c r="J2414" i="16"/>
  <c r="H2386" i="16"/>
  <c r="D2354" i="16"/>
  <c r="G2322" i="16"/>
  <c r="D2336" i="16"/>
  <c r="J2336" i="16"/>
  <c r="I2340" i="16"/>
  <c r="E2340" i="16"/>
  <c r="D2344" i="16"/>
  <c r="H2344" i="16"/>
  <c r="I2384" i="16"/>
  <c r="J2312" i="16"/>
  <c r="G2312" i="16"/>
  <c r="F2412" i="16"/>
  <c r="J2398" i="16"/>
  <c r="H2398" i="16"/>
  <c r="H2332" i="16"/>
  <c r="I2332" i="16"/>
  <c r="J2370" i="16"/>
  <c r="I2370" i="16"/>
  <c r="D2370" i="16"/>
  <c r="I2424" i="16"/>
  <c r="H2342" i="16"/>
  <c r="G2342" i="16"/>
  <c r="E2356" i="16"/>
  <c r="I2374" i="16"/>
  <c r="E2374" i="16"/>
  <c r="I2382" i="16"/>
  <c r="J2390" i="16"/>
  <c r="D2390" i="16"/>
  <c r="E2412" i="16"/>
  <c r="J2378" i="16"/>
  <c r="J2320" i="16"/>
  <c r="G2338" i="16"/>
  <c r="G2378" i="16"/>
  <c r="I2400" i="16"/>
  <c r="H2412" i="16"/>
  <c r="E2368" i="16"/>
  <c r="I2372" i="16"/>
  <c r="H2372" i="16"/>
  <c r="E2370" i="16"/>
  <c r="I2386" i="16"/>
  <c r="F2362" i="16"/>
  <c r="H2334" i="16"/>
  <c r="D2350" i="16"/>
  <c r="F2334" i="16"/>
  <c r="F2402" i="16"/>
  <c r="E2402" i="16"/>
  <c r="F2398" i="16"/>
  <c r="D2396" i="16"/>
  <c r="G2410" i="16"/>
  <c r="E2422" i="16"/>
  <c r="D2388" i="16"/>
  <c r="I2380" i="16"/>
  <c r="J2410" i="16"/>
  <c r="I2318" i="16"/>
  <c r="H2356" i="16"/>
  <c r="I2422" i="16"/>
  <c r="J2388" i="16"/>
  <c r="J2380" i="16"/>
  <c r="G2320" i="16"/>
  <c r="F2358" i="16"/>
  <c r="F2366" i="16"/>
  <c r="G2358" i="16"/>
  <c r="E2332" i="16"/>
  <c r="D2402" i="16"/>
  <c r="G2390" i="16"/>
  <c r="F2394" i="16"/>
  <c r="I2358" i="16"/>
  <c r="J2382" i="16"/>
  <c r="H2402" i="16"/>
  <c r="F2380" i="16"/>
  <c r="H2392" i="16"/>
  <c r="E2392" i="16"/>
  <c r="D2392" i="16"/>
  <c r="D2326" i="16"/>
  <c r="I2326" i="16"/>
  <c r="J2372" i="16"/>
  <c r="E2333" i="16"/>
  <c r="G2345" i="16"/>
  <c r="J2345" i="16"/>
  <c r="F2399" i="16"/>
  <c r="E2320" i="16"/>
  <c r="D2324" i="16"/>
  <c r="F2324" i="16"/>
  <c r="E2404" i="16"/>
  <c r="F2404" i="16"/>
  <c r="H2384" i="16"/>
  <c r="I2330" i="16"/>
  <c r="G2330" i="16"/>
  <c r="F2330" i="16"/>
  <c r="J2333" i="16"/>
  <c r="I2418" i="16"/>
  <c r="G2380" i="16"/>
  <c r="F2395" i="16"/>
  <c r="D2366" i="16"/>
  <c r="E2418" i="16"/>
  <c r="D2399" i="16"/>
  <c r="H2418" i="16"/>
  <c r="D2384" i="16"/>
  <c r="C3" i="10"/>
  <c r="J56" i="10"/>
  <c r="A29" i="2"/>
  <c r="B31" i="4"/>
  <c r="A19" i="10" s="1"/>
  <c r="J12" i="10"/>
  <c r="B12" i="3"/>
  <c r="I50" i="10"/>
  <c r="C22" i="3"/>
  <c r="I36" i="10"/>
  <c r="A72" i="2"/>
  <c r="I4" i="16"/>
  <c r="C13" i="3"/>
  <c r="K4" i="16"/>
  <c r="B15" i="4"/>
  <c r="A7" i="10" s="1"/>
  <c r="B9" i="4"/>
  <c r="A5" i="10" s="1"/>
  <c r="A3" i="10"/>
  <c r="J15" i="10"/>
  <c r="I38" i="10"/>
  <c r="I18" i="10"/>
  <c r="C23" i="3"/>
  <c r="I47" i="10"/>
  <c r="J33" i="10"/>
  <c r="O4" i="16"/>
  <c r="B5" i="11"/>
  <c r="B2" i="3"/>
  <c r="J26" i="10"/>
  <c r="L62" i="10"/>
  <c r="C62" i="10" s="1"/>
  <c r="J45" i="10"/>
  <c r="A33" i="2"/>
  <c r="I9" i="10"/>
  <c r="C9" i="10" s="1"/>
  <c r="B28" i="4"/>
  <c r="A17" i="10" s="1"/>
  <c r="B29" i="4"/>
  <c r="B35" i="4" s="1"/>
  <c r="A23" i="10" s="1"/>
  <c r="C7" i="3"/>
  <c r="A71" i="2"/>
  <c r="A26" i="2"/>
  <c r="A39" i="2"/>
  <c r="A32" i="2"/>
  <c r="B29" i="3"/>
  <c r="B19" i="3"/>
  <c r="J27" i="10"/>
  <c r="J5" i="10"/>
  <c r="A55" i="2"/>
  <c r="H4" i="16"/>
  <c r="J62" i="10"/>
  <c r="B2" i="16"/>
  <c r="J4" i="16"/>
  <c r="J10" i="10"/>
  <c r="D5" i="11"/>
  <c r="E3" i="16"/>
  <c r="S1392" i="16"/>
  <c r="S1371" i="16"/>
  <c r="S1349" i="16"/>
  <c r="S1328" i="16"/>
  <c r="S1307" i="16"/>
  <c r="S1285" i="16"/>
  <c r="S1264" i="16"/>
  <c r="S1243" i="16"/>
  <c r="S1221" i="16"/>
  <c r="S1200" i="16"/>
  <c r="S1179" i="16"/>
  <c r="S1157" i="16"/>
  <c r="S1136" i="16"/>
  <c r="S1115" i="16"/>
  <c r="S1093" i="16"/>
  <c r="S1072" i="16"/>
  <c r="S1051" i="16"/>
  <c r="S1029" i="16"/>
  <c r="S1008" i="16"/>
  <c r="S987" i="16"/>
  <c r="S962" i="16"/>
  <c r="S934" i="16"/>
  <c r="S897" i="16"/>
  <c r="S854" i="16"/>
  <c r="S811" i="16"/>
  <c r="S769" i="16"/>
  <c r="S726" i="16"/>
  <c r="S683" i="16"/>
  <c r="S625" i="16"/>
  <c r="S582" i="16"/>
  <c r="S540" i="16"/>
  <c r="S492" i="16"/>
  <c r="S408" i="16"/>
  <c r="S324" i="16"/>
  <c r="S170" i="16"/>
  <c r="D2333" i="16"/>
  <c r="G2393" i="16"/>
  <c r="H2345" i="16"/>
  <c r="E2361" i="16"/>
  <c r="E2371" i="16"/>
  <c r="H2371" i="16"/>
  <c r="J2397" i="16"/>
  <c r="J2343" i="16"/>
  <c r="G2399" i="16"/>
  <c r="J2330" i="16"/>
  <c r="E2324" i="16"/>
  <c r="H2324" i="16"/>
  <c r="F2364" i="16"/>
  <c r="G2404" i="16"/>
  <c r="F2337" i="16"/>
  <c r="E2345" i="16"/>
  <c r="D2328" i="16"/>
  <c r="D2347" i="16"/>
  <c r="J2322" i="16"/>
  <c r="D2340" i="16"/>
  <c r="J2340" i="16"/>
  <c r="J2384" i="16"/>
  <c r="H2395" i="16"/>
  <c r="D2330" i="16"/>
  <c r="D2343" i="16"/>
  <c r="G2324" i="16"/>
  <c r="D2374" i="16"/>
  <c r="J2374" i="16"/>
  <c r="E2382" i="16"/>
  <c r="F2320" i="16"/>
  <c r="F2333" i="16"/>
  <c r="I2399" i="16"/>
  <c r="G2361" i="16"/>
  <c r="H2397" i="16"/>
  <c r="D2418" i="16"/>
  <c r="J2361" i="16"/>
  <c r="I2347" i="16"/>
  <c r="H2404" i="16"/>
  <c r="D2395" i="16"/>
  <c r="J2366" i="16"/>
  <c r="B1001" i="11"/>
  <c r="C30" i="3"/>
  <c r="A41" i="2"/>
  <c r="B20" i="3"/>
  <c r="C14" i="3"/>
  <c r="B4" i="16"/>
  <c r="A46" i="2"/>
  <c r="C16" i="3"/>
  <c r="A24" i="2"/>
  <c r="B24" i="3"/>
  <c r="J7" i="10"/>
  <c r="J23" i="10"/>
  <c r="A53" i="2"/>
  <c r="C18" i="3"/>
  <c r="C6" i="3"/>
  <c r="I64" i="10"/>
  <c r="B32" i="3"/>
  <c r="A40" i="2"/>
  <c r="A28" i="2"/>
  <c r="E4" i="14"/>
  <c r="J36" i="10"/>
  <c r="I51" i="10"/>
  <c r="A56" i="2"/>
  <c r="B17" i="4"/>
  <c r="A9" i="10" s="1"/>
  <c r="I23" i="10"/>
  <c r="C11" i="3"/>
  <c r="B26" i="3"/>
  <c r="J58" i="10"/>
  <c r="D4" i="16"/>
  <c r="B10" i="3"/>
  <c r="B67" i="4"/>
  <c r="D1" i="10"/>
  <c r="B21" i="3"/>
  <c r="I21" i="10"/>
  <c r="J53" i="10"/>
  <c r="D3" i="10"/>
  <c r="B39" i="4"/>
  <c r="B57" i="4" s="1"/>
  <c r="A41" i="10" s="1"/>
  <c r="A77" i="2"/>
  <c r="A66" i="2"/>
  <c r="I55" i="10"/>
  <c r="E4" i="16"/>
  <c r="B25" i="4"/>
  <c r="A14" i="10" s="1"/>
  <c r="B27" i="3"/>
  <c r="J54" i="10"/>
  <c r="I41" i="10"/>
  <c r="I4" i="10"/>
  <c r="I65" i="10"/>
  <c r="J28" i="10"/>
  <c r="G16" i="10"/>
  <c r="H16" i="10" s="1"/>
  <c r="D16" i="10" s="1"/>
  <c r="B16" i="3"/>
  <c r="A19" i="2"/>
  <c r="B6" i="4"/>
  <c r="I16" i="10"/>
  <c r="C16" i="10" s="1"/>
  <c r="J2" i="16"/>
  <c r="I61" i="10"/>
  <c r="A1" i="2"/>
  <c r="B17" i="3"/>
  <c r="A74" i="2"/>
  <c r="B28" i="3"/>
  <c r="I56" i="10"/>
  <c r="H4" i="14"/>
  <c r="J43" i="10"/>
  <c r="I60" i="10"/>
  <c r="I20" i="10"/>
  <c r="C20" i="10" s="1"/>
  <c r="C4" i="16"/>
  <c r="A59" i="2"/>
  <c r="J59" i="10"/>
  <c r="I48" i="10"/>
  <c r="I22" i="10"/>
  <c r="I12" i="10"/>
  <c r="A30" i="2"/>
  <c r="J41" i="10"/>
  <c r="J30" i="10"/>
  <c r="C17" i="3"/>
  <c r="J38" i="10"/>
  <c r="B30" i="3"/>
  <c r="M4" i="16"/>
  <c r="F4" i="16"/>
  <c r="B18" i="3"/>
  <c r="C19" i="3"/>
  <c r="J37" i="10"/>
  <c r="B12" i="4"/>
  <c r="G25" i="4"/>
  <c r="G43" i="4" s="1"/>
  <c r="J50" i="10"/>
  <c r="G4" i="14"/>
  <c r="A1" i="14"/>
  <c r="A54" i="2"/>
  <c r="B9" i="3"/>
  <c r="B15" i="3"/>
  <c r="J32" i="10"/>
  <c r="I58" i="10"/>
  <c r="I46" i="10"/>
  <c r="A14" i="2"/>
  <c r="B19" i="4"/>
  <c r="C21" i="3"/>
  <c r="B7" i="4"/>
  <c r="C3" i="3"/>
  <c r="J13" i="10"/>
  <c r="B14" i="4"/>
  <c r="C31" i="3"/>
  <c r="A73" i="2"/>
  <c r="I27" i="10"/>
  <c r="A52" i="2"/>
  <c r="A64" i="2"/>
  <c r="A37" i="2"/>
  <c r="B6" i="3"/>
  <c r="A12" i="2"/>
  <c r="A6" i="2"/>
  <c r="A17" i="2"/>
  <c r="A89" i="4"/>
  <c r="C2" i="3"/>
  <c r="Q4" i="16"/>
  <c r="A8" i="2"/>
  <c r="J60" i="10"/>
  <c r="C12" i="3"/>
  <c r="A38" i="2"/>
  <c r="J40" i="10"/>
  <c r="I30" i="10"/>
  <c r="I4" i="4"/>
  <c r="I28" i="10"/>
  <c r="J18" i="10"/>
  <c r="J42" i="10"/>
  <c r="A50" i="2"/>
  <c r="I45" i="10"/>
  <c r="B4" i="4"/>
  <c r="A34" i="2"/>
  <c r="C25" i="3"/>
  <c r="J48" i="10"/>
  <c r="C24" i="3"/>
  <c r="A23" i="2"/>
  <c r="I37" i="10"/>
  <c r="C26" i="3"/>
  <c r="J47" i="10"/>
  <c r="I32" i="10"/>
  <c r="B24" i="4"/>
  <c r="A7" i="2"/>
  <c r="J55" i="10"/>
  <c r="B10" i="4"/>
  <c r="A6" i="10" s="1"/>
  <c r="J63" i="10"/>
  <c r="I26" i="10"/>
  <c r="B14" i="3"/>
  <c r="I43" i="10"/>
  <c r="L4" i="16"/>
  <c r="A51" i="2"/>
  <c r="A61" i="2"/>
  <c r="B5" i="3"/>
  <c r="A31" i="2"/>
  <c r="D4" i="14"/>
  <c r="A21" i="2"/>
  <c r="A75" i="2"/>
  <c r="I6" i="10"/>
  <c r="J52" i="10"/>
  <c r="I13" i="10"/>
  <c r="A18" i="2"/>
  <c r="C8" i="3"/>
  <c r="J64" i="10"/>
  <c r="I33" i="10"/>
  <c r="J11" i="10"/>
  <c r="A49" i="2"/>
  <c r="J17" i="10"/>
  <c r="J16" i="10"/>
  <c r="J57" i="10"/>
  <c r="B40" i="4"/>
  <c r="B64" i="4" s="1"/>
  <c r="A47" i="10" s="1"/>
  <c r="S2301" i="16"/>
  <c r="S2293" i="16"/>
  <c r="S2285" i="16"/>
  <c r="S2277" i="16"/>
  <c r="S2269" i="16"/>
  <c r="S2261" i="16"/>
  <c r="S2253" i="16"/>
  <c r="S2245" i="16"/>
  <c r="S2237" i="16"/>
  <c r="S2229" i="16"/>
  <c r="S2221" i="16"/>
  <c r="S2213" i="16"/>
  <c r="S2205" i="16"/>
  <c r="S2197" i="16"/>
  <c r="S2189" i="16"/>
  <c r="S2181" i="16"/>
  <c r="S2173" i="16"/>
  <c r="S2165" i="16"/>
  <c r="S2157" i="16"/>
  <c r="S2149" i="16"/>
  <c r="S2141" i="16"/>
  <c r="S2133" i="16"/>
  <c r="S2125" i="16"/>
  <c r="S2117" i="16"/>
  <c r="S2109" i="16"/>
  <c r="S2101" i="16"/>
  <c r="S2093" i="16"/>
  <c r="S2085" i="16"/>
  <c r="S2077" i="16"/>
  <c r="S2069" i="16"/>
  <c r="S2061" i="16"/>
  <c r="S2053" i="16"/>
  <c r="S2045" i="16"/>
  <c r="S2037" i="16"/>
  <c r="S2029" i="16"/>
  <c r="S2021" i="16"/>
  <c r="S2013" i="16"/>
  <c r="S2005" i="16"/>
  <c r="S1997" i="16"/>
  <c r="S1989" i="16"/>
  <c r="S1981" i="16"/>
  <c r="S1973" i="16"/>
  <c r="S1965" i="16"/>
  <c r="S1957" i="16"/>
  <c r="S1949" i="16"/>
  <c r="S1941" i="16"/>
  <c r="S1933" i="16"/>
  <c r="S1925" i="16"/>
  <c r="S1917" i="16"/>
  <c r="S1909" i="16"/>
  <c r="S1901" i="16"/>
  <c r="S1893" i="16"/>
  <c r="S1885" i="16"/>
  <c r="S1877" i="16"/>
  <c r="S1869" i="16"/>
  <c r="S1861" i="16"/>
  <c r="S1853" i="16"/>
  <c r="S1845" i="16"/>
  <c r="S1831" i="16"/>
  <c r="S1821" i="16"/>
  <c r="S1811" i="16"/>
  <c r="S1800" i="16"/>
  <c r="S1789" i="16"/>
  <c r="S1779" i="16"/>
  <c r="S1768" i="16"/>
  <c r="S1757" i="16"/>
  <c r="S1747" i="16"/>
  <c r="S1736" i="16"/>
  <c r="S1725" i="16"/>
  <c r="S1715" i="16"/>
  <c r="S1704" i="16"/>
  <c r="S1693" i="16"/>
  <c r="S1683" i="16"/>
  <c r="S1672" i="16"/>
  <c r="S1661" i="16"/>
  <c r="S1651" i="16"/>
  <c r="S1640" i="16"/>
  <c r="S1629" i="16"/>
  <c r="S1619" i="16"/>
  <c r="S1608" i="16"/>
  <c r="S1597" i="16"/>
  <c r="S1587" i="16"/>
  <c r="S1576" i="16"/>
  <c r="S1565" i="16"/>
  <c r="S1555" i="16"/>
  <c r="S1544" i="16"/>
  <c r="S1533" i="16"/>
  <c r="S1515" i="16"/>
  <c r="S1493" i="16"/>
  <c r="S1472" i="16"/>
  <c r="S1451" i="16"/>
  <c r="S1429" i="16"/>
  <c r="S1408" i="16"/>
  <c r="S1387" i="16"/>
  <c r="S1365" i="16"/>
  <c r="S1344" i="16"/>
  <c r="S1323" i="16"/>
  <c r="S1301" i="16"/>
  <c r="S1280" i="16"/>
  <c r="S1259" i="16"/>
  <c r="S1237" i="16"/>
  <c r="S1216" i="16"/>
  <c r="S1195" i="16"/>
  <c r="S1173" i="16"/>
  <c r="S1152" i="16"/>
  <c r="S1131" i="16"/>
  <c r="S1109" i="16"/>
  <c r="S1088" i="16"/>
  <c r="S1067" i="16"/>
  <c r="S1045" i="16"/>
  <c r="S1024" i="16"/>
  <c r="S1003" i="16"/>
  <c r="S981" i="16"/>
  <c r="S955" i="16"/>
  <c r="S925" i="16"/>
  <c r="S886" i="16"/>
  <c r="S843" i="16"/>
  <c r="S801" i="16"/>
  <c r="S758" i="16"/>
  <c r="S715" i="16"/>
  <c r="S673" i="16"/>
  <c r="S614" i="16"/>
  <c r="S572" i="16"/>
  <c r="S529" i="16"/>
  <c r="S472" i="16"/>
  <c r="S388" i="16"/>
  <c r="S298" i="16"/>
  <c r="S25" i="16"/>
  <c r="S39" i="16"/>
  <c r="S54" i="16"/>
  <c r="S68" i="16"/>
  <c r="S84" i="16"/>
  <c r="S98" i="16"/>
  <c r="S114" i="16"/>
  <c r="S130" i="16"/>
  <c r="S146" i="16"/>
  <c r="S162" i="16"/>
  <c r="S178" i="16"/>
  <c r="S194" i="16"/>
  <c r="S210" i="16"/>
  <c r="S226" i="16"/>
  <c r="S242" i="16"/>
  <c r="S258" i="16"/>
  <c r="S274" i="16"/>
  <c r="S290" i="16"/>
  <c r="S306" i="16"/>
  <c r="S314" i="16"/>
  <c r="S322" i="16"/>
  <c r="S330" i="16"/>
  <c r="S338" i="16"/>
  <c r="S346" i="16"/>
  <c r="S354" i="16"/>
  <c r="S362" i="16"/>
  <c r="S370" i="16"/>
  <c r="S378" i="16"/>
  <c r="S386" i="16"/>
  <c r="S394" i="16"/>
  <c r="S402" i="16"/>
  <c r="S410" i="16"/>
  <c r="S418" i="16"/>
  <c r="S426" i="16"/>
  <c r="S434" i="16"/>
  <c r="S442" i="16"/>
  <c r="S450" i="16"/>
  <c r="S458" i="16"/>
  <c r="S466" i="16"/>
  <c r="S474" i="16"/>
  <c r="S482" i="16"/>
  <c r="S490" i="16"/>
  <c r="S495" i="16"/>
  <c r="S500" i="16"/>
  <c r="S506" i="16"/>
  <c r="S511" i="16"/>
  <c r="S515" i="16"/>
  <c r="S519" i="16"/>
  <c r="S523" i="16"/>
  <c r="S527" i="16"/>
  <c r="S531" i="16"/>
  <c r="S535" i="16"/>
  <c r="S539" i="16"/>
  <c r="S543" i="16"/>
  <c r="S547" i="16"/>
  <c r="S551" i="16"/>
  <c r="S555" i="16"/>
  <c r="S559" i="16"/>
  <c r="S563" i="16"/>
  <c r="S567" i="16"/>
  <c r="S571" i="16"/>
  <c r="S575" i="16"/>
  <c r="S579" i="16"/>
  <c r="S583" i="16"/>
  <c r="S587" i="16"/>
  <c r="S591" i="16"/>
  <c r="S595" i="16"/>
  <c r="S599" i="16"/>
  <c r="S603" i="16"/>
  <c r="S607" i="16"/>
  <c r="S611" i="16"/>
  <c r="S615" i="16"/>
  <c r="S619" i="16"/>
  <c r="S623" i="16"/>
  <c r="S627" i="16"/>
  <c r="S631" i="16"/>
  <c r="S635" i="16"/>
  <c r="S639" i="16"/>
  <c r="S643" i="16"/>
  <c r="S648" i="16"/>
  <c r="S652" i="16"/>
  <c r="S656" i="16"/>
  <c r="S660" i="16"/>
  <c r="S664" i="16"/>
  <c r="S668" i="16"/>
  <c r="S672" i="16"/>
  <c r="S676" i="16"/>
  <c r="S680" i="16"/>
  <c r="S684" i="16"/>
  <c r="S688" i="16"/>
  <c r="S692" i="16"/>
  <c r="S696" i="16"/>
  <c r="S700" i="16"/>
  <c r="S704" i="16"/>
  <c r="S708" i="16"/>
  <c r="S712" i="16"/>
  <c r="S716" i="16"/>
  <c r="S720" i="16"/>
  <c r="S724" i="16"/>
  <c r="S728" i="16"/>
  <c r="S732" i="16"/>
  <c r="S736" i="16"/>
  <c r="S740" i="16"/>
  <c r="S744" i="16"/>
  <c r="S748" i="16"/>
  <c r="S752" i="16"/>
  <c r="S756" i="16"/>
  <c r="S760" i="16"/>
  <c r="S764" i="16"/>
  <c r="S768" i="16"/>
  <c r="S772" i="16"/>
  <c r="S776" i="16"/>
  <c r="S780" i="16"/>
  <c r="S784" i="16"/>
  <c r="S788" i="16"/>
  <c r="S792" i="16"/>
  <c r="S796" i="16"/>
  <c r="S800" i="16"/>
  <c r="S804" i="16"/>
  <c r="S808" i="16"/>
  <c r="S812" i="16"/>
  <c r="S816" i="16"/>
  <c r="S820" i="16"/>
  <c r="S824" i="16"/>
  <c r="S828" i="16"/>
  <c r="S832" i="16"/>
  <c r="S836" i="16"/>
  <c r="S840" i="16"/>
  <c r="S844" i="16"/>
  <c r="S848" i="16"/>
  <c r="S852" i="16"/>
  <c r="S856" i="16"/>
  <c r="S860" i="16"/>
  <c r="S864" i="16"/>
  <c r="S868" i="16"/>
  <c r="S872" i="16"/>
  <c r="S876" i="16"/>
  <c r="S880" i="16"/>
  <c r="S884" i="16"/>
  <c r="S888" i="16"/>
  <c r="S892" i="16"/>
  <c r="S896" i="16"/>
  <c r="S900" i="16"/>
  <c r="S904" i="16"/>
  <c r="S908" i="16"/>
  <c r="S912" i="16"/>
  <c r="S916" i="16"/>
  <c r="S920" i="16"/>
  <c r="S924" i="16"/>
  <c r="S928" i="16"/>
  <c r="S932" i="16"/>
  <c r="S936" i="16"/>
  <c r="S940" i="16"/>
  <c r="S944" i="16"/>
  <c r="S948" i="16"/>
  <c r="S952" i="16"/>
  <c r="S956" i="16"/>
  <c r="S960" i="16"/>
  <c r="S964" i="16"/>
  <c r="S968" i="16"/>
  <c r="S972" i="16"/>
  <c r="S12" i="16"/>
  <c r="S50" i="16"/>
  <c r="S72" i="16"/>
  <c r="S92" i="16"/>
  <c r="S110" i="16"/>
  <c r="S134" i="16"/>
  <c r="S154" i="16"/>
  <c r="S174" i="16"/>
  <c r="S198" i="16"/>
  <c r="S218" i="16"/>
  <c r="S238" i="16"/>
  <c r="S262" i="16"/>
  <c r="S282" i="16"/>
  <c r="S302" i="16"/>
  <c r="S316" i="16"/>
  <c r="S326" i="16"/>
  <c r="S336" i="16"/>
  <c r="S348" i="16"/>
  <c r="S358" i="16"/>
  <c r="S368" i="16"/>
  <c r="S380" i="16"/>
  <c r="S390" i="16"/>
  <c r="S400" i="16"/>
  <c r="S412" i="16"/>
  <c r="S422" i="16"/>
  <c r="S432" i="16"/>
  <c r="S444" i="16"/>
  <c r="S454" i="16"/>
  <c r="S464" i="16"/>
  <c r="S476" i="16"/>
  <c r="S486" i="16"/>
  <c r="S494" i="16"/>
  <c r="S502" i="16"/>
  <c r="S508" i="16"/>
  <c r="S514" i="16"/>
  <c r="S520" i="16"/>
  <c r="S525" i="16"/>
  <c r="S530" i="16"/>
  <c r="S536" i="16"/>
  <c r="S541" i="16"/>
  <c r="S546" i="16"/>
  <c r="S552" i="16"/>
  <c r="S557" i="16"/>
  <c r="S562" i="16"/>
  <c r="S568" i="16"/>
  <c r="S573" i="16"/>
  <c r="S578" i="16"/>
  <c r="S584" i="16"/>
  <c r="S589" i="16"/>
  <c r="S594" i="16"/>
  <c r="S600" i="16"/>
  <c r="S605" i="16"/>
  <c r="S610" i="16"/>
  <c r="S616" i="16"/>
  <c r="S621" i="16"/>
  <c r="S626" i="16"/>
  <c r="S632" i="16"/>
  <c r="S637" i="16"/>
  <c r="S642" i="16"/>
  <c r="S647" i="16"/>
  <c r="S653" i="16"/>
  <c r="S658" i="16"/>
  <c r="S663" i="16"/>
  <c r="S669" i="16"/>
  <c r="S674" i="16"/>
  <c r="S679" i="16"/>
  <c r="S685" i="16"/>
  <c r="S690" i="16"/>
  <c r="S695" i="16"/>
  <c r="S701" i="16"/>
  <c r="S706" i="16"/>
  <c r="S711" i="16"/>
  <c r="S717" i="16"/>
  <c r="S722" i="16"/>
  <c r="S727" i="16"/>
  <c r="S733" i="16"/>
  <c r="S738" i="16"/>
  <c r="S743" i="16"/>
  <c r="S749" i="16"/>
  <c r="S754" i="16"/>
  <c r="S759" i="16"/>
  <c r="S765" i="16"/>
  <c r="S770" i="16"/>
  <c r="S775" i="16"/>
  <c r="S781" i="16"/>
  <c r="S786" i="16"/>
  <c r="S791" i="16"/>
  <c r="S797" i="16"/>
  <c r="S802" i="16"/>
  <c r="S807" i="16"/>
  <c r="S813" i="16"/>
  <c r="S818" i="16"/>
  <c r="S823" i="16"/>
  <c r="S829" i="16"/>
  <c r="S834" i="16"/>
  <c r="S839" i="16"/>
  <c r="S845" i="16"/>
  <c r="S850" i="16"/>
  <c r="S855" i="16"/>
  <c r="S861" i="16"/>
  <c r="S866" i="16"/>
  <c r="S871" i="16"/>
  <c r="S877" i="16"/>
  <c r="S882" i="16"/>
  <c r="S887" i="16"/>
  <c r="S893" i="16"/>
  <c r="S898" i="16"/>
  <c r="S903" i="16"/>
  <c r="S909" i="16"/>
  <c r="S915" i="16"/>
  <c r="S921" i="16"/>
  <c r="S926" i="16"/>
  <c r="S931" i="16"/>
  <c r="S937" i="16"/>
  <c r="S942" i="16"/>
  <c r="S947" i="16"/>
  <c r="S953" i="16"/>
  <c r="S958" i="16"/>
  <c r="S963" i="16"/>
  <c r="S969" i="16"/>
  <c r="S974" i="16"/>
  <c r="S978" i="16"/>
  <c r="S982" i="16"/>
  <c r="S986" i="16"/>
  <c r="S990" i="16"/>
  <c r="S994" i="16"/>
  <c r="S998" i="16"/>
  <c r="S1002" i="16"/>
  <c r="S1006" i="16"/>
  <c r="S1010" i="16"/>
  <c r="S1014" i="16"/>
  <c r="S1018" i="16"/>
  <c r="S1022" i="16"/>
  <c r="S1026" i="16"/>
  <c r="S1030" i="16"/>
  <c r="S1034" i="16"/>
  <c r="S1038" i="16"/>
  <c r="S1042" i="16"/>
  <c r="S1046" i="16"/>
  <c r="S1050" i="16"/>
  <c r="S1054" i="16"/>
  <c r="S1058" i="16"/>
  <c r="S1062" i="16"/>
  <c r="S1066" i="16"/>
  <c r="S1070" i="16"/>
  <c r="S1074" i="16"/>
  <c r="S1078" i="16"/>
  <c r="S1082" i="16"/>
  <c r="S1086" i="16"/>
  <c r="S1090" i="16"/>
  <c r="S1094" i="16"/>
  <c r="S1098" i="16"/>
  <c r="S1102" i="16"/>
  <c r="S1106" i="16"/>
  <c r="S1110" i="16"/>
  <c r="S1114" i="16"/>
  <c r="S1118" i="16"/>
  <c r="S1122" i="16"/>
  <c r="S1126" i="16"/>
  <c r="S1130" i="16"/>
  <c r="S1134" i="16"/>
  <c r="S1138" i="16"/>
  <c r="S1142" i="16"/>
  <c r="S1146" i="16"/>
  <c r="S1150" i="16"/>
  <c r="S1154" i="16"/>
  <c r="S1158" i="16"/>
  <c r="S1162" i="16"/>
  <c r="S1166" i="16"/>
  <c r="S1170" i="16"/>
  <c r="S1174" i="16"/>
  <c r="S1178" i="16"/>
  <c r="S1182" i="16"/>
  <c r="S1186" i="16"/>
  <c r="S1190" i="16"/>
  <c r="S1194" i="16"/>
  <c r="S1198" i="16"/>
  <c r="S1202" i="16"/>
  <c r="S1206" i="16"/>
  <c r="S1210" i="16"/>
  <c r="S1214" i="16"/>
  <c r="S1218" i="16"/>
  <c r="S1222" i="16"/>
  <c r="S1226" i="16"/>
  <c r="S1230" i="16"/>
  <c r="S1234" i="16"/>
  <c r="S1238" i="16"/>
  <c r="S1242" i="16"/>
  <c r="S1246" i="16"/>
  <c r="S1250" i="16"/>
  <c r="S1254" i="16"/>
  <c r="S1258" i="16"/>
  <c r="S1262" i="16"/>
  <c r="S1266" i="16"/>
  <c r="S1270" i="16"/>
  <c r="S1274" i="16"/>
  <c r="S1278" i="16"/>
  <c r="S1282" i="16"/>
  <c r="S1286" i="16"/>
  <c r="S1290" i="16"/>
  <c r="S1294" i="16"/>
  <c r="S1298" i="16"/>
  <c r="S1302" i="16"/>
  <c r="S1306" i="16"/>
  <c r="S1310" i="16"/>
  <c r="S1314" i="16"/>
  <c r="S1318" i="16"/>
  <c r="S1322" i="16"/>
  <c r="S1326" i="16"/>
  <c r="S1330" i="16"/>
  <c r="S1334" i="16"/>
  <c r="S1338" i="16"/>
  <c r="S1342" i="16"/>
  <c r="S1346" i="16"/>
  <c r="S1350" i="16"/>
  <c r="S1354" i="16"/>
  <c r="S1358" i="16"/>
  <c r="S1362" i="16"/>
  <c r="S1366" i="16"/>
  <c r="S1370" i="16"/>
  <c r="S1374" i="16"/>
  <c r="S1378" i="16"/>
  <c r="S1382" i="16"/>
  <c r="S1386" i="16"/>
  <c r="S1390" i="16"/>
  <c r="S1394" i="16"/>
  <c r="S1398" i="16"/>
  <c r="S1402" i="16"/>
  <c r="S1406" i="16"/>
  <c r="S1410" i="16"/>
  <c r="S1414" i="16"/>
  <c r="S1418" i="16"/>
  <c r="S1422" i="16"/>
  <c r="S1426" i="16"/>
  <c r="S1430" i="16"/>
  <c r="S1434" i="16"/>
  <c r="S1438" i="16"/>
  <c r="S1442" i="16"/>
  <c r="S1446" i="16"/>
  <c r="S1450" i="16"/>
  <c r="S1454" i="16"/>
  <c r="S1458" i="16"/>
  <c r="S1462" i="16"/>
  <c r="S1466" i="16"/>
  <c r="S1470" i="16"/>
  <c r="S1474" i="16"/>
  <c r="S1478" i="16"/>
  <c r="S1482" i="16"/>
  <c r="S1486" i="16"/>
  <c r="S1490" i="16"/>
  <c r="S1494" i="16"/>
  <c r="S1498" i="16"/>
  <c r="S1502" i="16"/>
  <c r="S1506" i="16"/>
  <c r="S1510" i="16"/>
  <c r="S1514" i="16"/>
  <c r="S1518" i="16"/>
  <c r="S1522" i="16"/>
  <c r="S1526" i="16"/>
  <c r="S1530" i="16"/>
  <c r="S1534" i="16"/>
  <c r="S1538" i="16"/>
  <c r="S1542" i="16"/>
  <c r="S1546" i="16"/>
  <c r="S1550" i="16"/>
  <c r="S1554" i="16"/>
  <c r="S1558" i="16"/>
  <c r="S1562" i="16"/>
  <c r="S1566" i="16"/>
  <c r="S1570" i="16"/>
  <c r="S1574" i="16"/>
  <c r="S1578" i="16"/>
  <c r="S1582" i="16"/>
  <c r="S1586" i="16"/>
  <c r="S1590" i="16"/>
  <c r="S1594" i="16"/>
  <c r="S1598" i="16"/>
  <c r="S1602" i="16"/>
  <c r="S1606" i="16"/>
  <c r="S1610" i="16"/>
  <c r="S1614" i="16"/>
  <c r="S1618" i="16"/>
  <c r="S1622" i="16"/>
  <c r="S1626" i="16"/>
  <c r="S1630" i="16"/>
  <c r="S1634" i="16"/>
  <c r="S1638" i="16"/>
  <c r="S1642" i="16"/>
  <c r="S1646" i="16"/>
  <c r="S1650" i="16"/>
  <c r="S1654" i="16"/>
  <c r="S1658" i="16"/>
  <c r="S1662" i="16"/>
  <c r="S1666" i="16"/>
  <c r="S1670" i="16"/>
  <c r="S1674" i="16"/>
  <c r="S1678" i="16"/>
  <c r="S1682" i="16"/>
  <c r="S1686" i="16"/>
  <c r="S1690" i="16"/>
  <c r="S1694" i="16"/>
  <c r="S1698" i="16"/>
  <c r="S1702" i="16"/>
  <c r="S1706" i="16"/>
  <c r="S1710" i="16"/>
  <c r="S1714" i="16"/>
  <c r="S1718" i="16"/>
  <c r="S1722" i="16"/>
  <c r="S1726" i="16"/>
  <c r="S1730" i="16"/>
  <c r="S1734" i="16"/>
  <c r="S1738" i="16"/>
  <c r="S1742" i="16"/>
  <c r="S1746" i="16"/>
  <c r="S1750" i="16"/>
  <c r="S1754" i="16"/>
  <c r="S1758" i="16"/>
  <c r="S1762" i="16"/>
  <c r="S1766" i="16"/>
  <c r="S1770" i="16"/>
  <c r="S1774" i="16"/>
  <c r="S1778" i="16"/>
  <c r="S1782" i="16"/>
  <c r="S1786" i="16"/>
  <c r="S1790" i="16"/>
  <c r="S1794" i="16"/>
  <c r="S1798" i="16"/>
  <c r="S1802" i="16"/>
  <c r="S1806" i="16"/>
  <c r="S1810" i="16"/>
  <c r="S1814" i="16"/>
  <c r="S1818" i="16"/>
  <c r="S1822" i="16"/>
  <c r="S1826" i="16"/>
  <c r="S21" i="16"/>
  <c r="S43" i="16"/>
  <c r="S80" i="16"/>
  <c r="S102" i="16"/>
  <c r="S122" i="16"/>
  <c r="S142" i="16"/>
  <c r="S166" i="16"/>
  <c r="S186" i="16"/>
  <c r="S206" i="16"/>
  <c r="S230" i="16"/>
  <c r="S250" i="16"/>
  <c r="S270" i="16"/>
  <c r="S294" i="16"/>
  <c r="S310" i="16"/>
  <c r="S320" i="16"/>
  <c r="S332" i="16"/>
  <c r="S342" i="16"/>
  <c r="S352" i="16"/>
  <c r="S364" i="16"/>
  <c r="S374" i="16"/>
  <c r="S384" i="16"/>
  <c r="S396" i="16"/>
  <c r="S406" i="16"/>
  <c r="S416" i="16"/>
  <c r="S428" i="16"/>
  <c r="S438" i="16"/>
  <c r="S448" i="16"/>
  <c r="S460" i="16"/>
  <c r="S470" i="16"/>
  <c r="S480" i="16"/>
  <c r="S491" i="16"/>
  <c r="S498" i="16"/>
  <c r="S504" i="16"/>
  <c r="S512" i="16"/>
  <c r="S517" i="16"/>
  <c r="S522" i="16"/>
  <c r="S528" i="16"/>
  <c r="S533" i="16"/>
  <c r="S538" i="16"/>
  <c r="S544" i="16"/>
  <c r="S549" i="16"/>
  <c r="S554" i="16"/>
  <c r="S560" i="16"/>
  <c r="S565" i="16"/>
  <c r="S570" i="16"/>
  <c r="S576" i="16"/>
  <c r="S581" i="16"/>
  <c r="S586" i="16"/>
  <c r="S592" i="16"/>
  <c r="S597" i="16"/>
  <c r="S602" i="16"/>
  <c r="S608" i="16"/>
  <c r="S613" i="16"/>
  <c r="S618" i="16"/>
  <c r="S624" i="16"/>
  <c r="S629" i="16"/>
  <c r="S634" i="16"/>
  <c r="S640" i="16"/>
  <c r="S645" i="16"/>
  <c r="S650" i="16"/>
  <c r="S655" i="16"/>
  <c r="S661" i="16"/>
  <c r="S666" i="16"/>
  <c r="S671" i="16"/>
  <c r="S677" i="16"/>
  <c r="S682" i="16"/>
  <c r="S687" i="16"/>
  <c r="S693" i="16"/>
  <c r="S698" i="16"/>
  <c r="S703" i="16"/>
  <c r="S709" i="16"/>
  <c r="S714" i="16"/>
  <c r="S719" i="16"/>
  <c r="S725" i="16"/>
  <c r="S730" i="16"/>
  <c r="S735" i="16"/>
  <c r="S741" i="16"/>
  <c r="S746" i="16"/>
  <c r="S751" i="16"/>
  <c r="S757" i="16"/>
  <c r="S762" i="16"/>
  <c r="S767" i="16"/>
  <c r="S773" i="16"/>
  <c r="S778" i="16"/>
  <c r="S783" i="16"/>
  <c r="S789" i="16"/>
  <c r="S794" i="16"/>
  <c r="S799" i="16"/>
  <c r="S805" i="16"/>
  <c r="S810" i="16"/>
  <c r="S815" i="16"/>
  <c r="S821" i="16"/>
  <c r="S826" i="16"/>
  <c r="S831" i="16"/>
  <c r="S837" i="16"/>
  <c r="S842" i="16"/>
  <c r="S847" i="16"/>
  <c r="S853" i="16"/>
  <c r="S858" i="16"/>
  <c r="S863" i="16"/>
  <c r="S869" i="16"/>
  <c r="S874" i="16"/>
  <c r="S879" i="16"/>
  <c r="S885" i="16"/>
  <c r="S890" i="16"/>
  <c r="S895" i="16"/>
  <c r="S901" i="16"/>
  <c r="S906" i="16"/>
  <c r="S911" i="16"/>
  <c r="S913" i="16"/>
  <c r="S918" i="16"/>
  <c r="S923" i="16"/>
  <c r="S929" i="16"/>
  <c r="S16" i="16"/>
  <c r="S58" i="16"/>
  <c r="S138" i="16"/>
  <c r="S182" i="16"/>
  <c r="S222" i="16"/>
  <c r="S266" i="16"/>
  <c r="S308" i="16"/>
  <c r="S328" i="16"/>
  <c r="S350" i="16"/>
  <c r="S372" i="16"/>
  <c r="S392" i="16"/>
  <c r="S414" i="16"/>
  <c r="S436" i="16"/>
  <c r="S456" i="16"/>
  <c r="S478" i="16"/>
  <c r="S496" i="16"/>
  <c r="S510" i="16"/>
  <c r="S521" i="16"/>
  <c r="S532" i="16"/>
  <c r="S542" i="16"/>
  <c r="S553" i="16"/>
  <c r="S564" i="16"/>
  <c r="S574" i="16"/>
  <c r="S585" i="16"/>
  <c r="S596" i="16"/>
  <c r="S606" i="16"/>
  <c r="S617" i="16"/>
  <c r="S628" i="16"/>
  <c r="S638" i="16"/>
  <c r="S654" i="16"/>
  <c r="S665" i="16"/>
  <c r="S675" i="16"/>
  <c r="S686" i="16"/>
  <c r="S697" i="16"/>
  <c r="S707" i="16"/>
  <c r="S718" i="16"/>
  <c r="S729" i="16"/>
  <c r="S739" i="16"/>
  <c r="S750" i="16"/>
  <c r="S761" i="16"/>
  <c r="S771" i="16"/>
  <c r="S782" i="16"/>
  <c r="S793" i="16"/>
  <c r="S803" i="16"/>
  <c r="S814" i="16"/>
  <c r="S825" i="16"/>
  <c r="S835" i="16"/>
  <c r="S846" i="16"/>
  <c r="S857" i="16"/>
  <c r="S867" i="16"/>
  <c r="S878" i="16"/>
  <c r="S889" i="16"/>
  <c r="S899" i="16"/>
  <c r="S910" i="16"/>
  <c r="S917" i="16"/>
  <c r="S927" i="16"/>
  <c r="S935" i="16"/>
  <c r="S943" i="16"/>
  <c r="S950" i="16"/>
  <c r="S957" i="16"/>
  <c r="S965" i="16"/>
  <c r="S971" i="16"/>
  <c r="S977" i="16"/>
  <c r="S983" i="16"/>
  <c r="S988" i="16"/>
  <c r="S993" i="16"/>
  <c r="S999" i="16"/>
  <c r="S1004" i="16"/>
  <c r="S1009" i="16"/>
  <c r="S1015" i="16"/>
  <c r="S1020" i="16"/>
  <c r="S1025" i="16"/>
  <c r="S1031" i="16"/>
  <c r="S1036" i="16"/>
  <c r="S1041" i="16"/>
  <c r="S1047" i="16"/>
  <c r="S1052" i="16"/>
  <c r="S1057" i="16"/>
  <c r="S1063" i="16"/>
  <c r="S1068" i="16"/>
  <c r="S1073" i="16"/>
  <c r="S1079" i="16"/>
  <c r="S1084" i="16"/>
  <c r="S1089" i="16"/>
  <c r="S1095" i="16"/>
  <c r="S1100" i="16"/>
  <c r="S1105" i="16"/>
  <c r="S1111" i="16"/>
  <c r="S1116" i="16"/>
  <c r="S1121" i="16"/>
  <c r="S1127" i="16"/>
  <c r="S1132" i="16"/>
  <c r="S1137" i="16"/>
  <c r="S1143" i="16"/>
  <c r="S1148" i="16"/>
  <c r="S1153" i="16"/>
  <c r="S1159" i="16"/>
  <c r="S1164" i="16"/>
  <c r="S1169" i="16"/>
  <c r="S1175" i="16"/>
  <c r="S1180" i="16"/>
  <c r="S1185" i="16"/>
  <c r="S1191" i="16"/>
  <c r="S1196" i="16"/>
  <c r="S1201" i="16"/>
  <c r="S1207" i="16"/>
  <c r="S1212" i="16"/>
  <c r="S1217" i="16"/>
  <c r="S1223" i="16"/>
  <c r="S1228" i="16"/>
  <c r="S1233" i="16"/>
  <c r="S1239" i="16"/>
  <c r="S1244" i="16"/>
  <c r="S1249" i="16"/>
  <c r="S1255" i="16"/>
  <c r="S1260" i="16"/>
  <c r="S1265" i="16"/>
  <c r="S1271" i="16"/>
  <c r="S1276" i="16"/>
  <c r="S1281" i="16"/>
  <c r="S1287" i="16"/>
  <c r="S1292" i="16"/>
  <c r="S1297" i="16"/>
  <c r="S1303" i="16"/>
  <c r="S1308" i="16"/>
  <c r="S1313" i="16"/>
  <c r="S1319" i="16"/>
  <c r="S1324" i="16"/>
  <c r="S1329" i="16"/>
  <c r="S1335" i="16"/>
  <c r="S1340" i="16"/>
  <c r="S1345" i="16"/>
  <c r="S1351" i="16"/>
  <c r="S1356" i="16"/>
  <c r="S1361" i="16"/>
  <c r="S1367" i="16"/>
  <c r="S1372" i="16"/>
  <c r="S1377" i="16"/>
  <c r="S1383" i="16"/>
  <c r="S1388" i="16"/>
  <c r="S1393" i="16"/>
  <c r="S1399" i="16"/>
  <c r="S1404" i="16"/>
  <c r="S1409" i="16"/>
  <c r="S1415" i="16"/>
  <c r="S1420" i="16"/>
  <c r="S1425" i="16"/>
  <c r="S1431" i="16"/>
  <c r="S1436" i="16"/>
  <c r="S1441" i="16"/>
  <c r="S1447" i="16"/>
  <c r="S1452" i="16"/>
  <c r="S1457" i="16"/>
  <c r="S1463" i="16"/>
  <c r="S1468" i="16"/>
  <c r="S1473" i="16"/>
  <c r="S1479" i="16"/>
  <c r="S1484" i="16"/>
  <c r="S1489" i="16"/>
  <c r="S1495" i="16"/>
  <c r="S1500" i="16"/>
  <c r="S1505" i="16"/>
  <c r="S1511" i="16"/>
  <c r="S1516" i="16"/>
  <c r="S1521" i="16"/>
  <c r="S1527" i="16"/>
  <c r="S35" i="16"/>
  <c r="S76" i="16"/>
  <c r="S118" i="16"/>
  <c r="S158" i="16"/>
  <c r="S202" i="16"/>
  <c r="S246" i="16"/>
  <c r="S286" i="16"/>
  <c r="S318" i="16"/>
  <c r="S340" i="16"/>
  <c r="S360" i="16"/>
  <c r="S382" i="16"/>
  <c r="S404" i="16"/>
  <c r="S424" i="16"/>
  <c r="S446" i="16"/>
  <c r="S468" i="16"/>
  <c r="S488" i="16"/>
  <c r="S503" i="16"/>
  <c r="S516" i="16"/>
  <c r="S526" i="16"/>
  <c r="S537" i="16"/>
  <c r="S548" i="16"/>
  <c r="S558" i="16"/>
  <c r="S569" i="16"/>
  <c r="S580" i="16"/>
  <c r="S590" i="16"/>
  <c r="S601" i="16"/>
  <c r="S612" i="16"/>
  <c r="S622" i="16"/>
  <c r="S633" i="16"/>
  <c r="S644" i="16"/>
  <c r="S649" i="16"/>
  <c r="S659" i="16"/>
  <c r="S670" i="16"/>
  <c r="S681" i="16"/>
  <c r="S691" i="16"/>
  <c r="S702" i="16"/>
  <c r="S713" i="16"/>
  <c r="S723" i="16"/>
  <c r="S734" i="16"/>
  <c r="S745" i="16"/>
  <c r="S755" i="16"/>
  <c r="S766" i="16"/>
  <c r="S777" i="16"/>
  <c r="S787" i="16"/>
  <c r="S798" i="16"/>
  <c r="S809" i="16"/>
  <c r="S819" i="16"/>
  <c r="S830" i="16"/>
  <c r="S841" i="16"/>
  <c r="S851" i="16"/>
  <c r="S862" i="16"/>
  <c r="S873" i="16"/>
  <c r="S883" i="16"/>
  <c r="S894" i="16"/>
  <c r="S905" i="16"/>
  <c r="S922" i="16"/>
  <c r="S933" i="16"/>
  <c r="S939" i="16"/>
  <c r="S946" i="16"/>
  <c r="S954" i="16"/>
  <c r="S961" i="16"/>
  <c r="S967" i="16"/>
  <c r="S975" i="16"/>
  <c r="S980" i="16"/>
  <c r="S985" i="16"/>
  <c r="S991" i="16"/>
  <c r="S996" i="16"/>
  <c r="S1001" i="16"/>
  <c r="S1007" i="16"/>
  <c r="S1012" i="16"/>
  <c r="S1017" i="16"/>
  <c r="S1023" i="16"/>
  <c r="S1028" i="16"/>
  <c r="S1033" i="16"/>
  <c r="S1039" i="16"/>
  <c r="S1044" i="16"/>
  <c r="S1049" i="16"/>
  <c r="S1055" i="16"/>
  <c r="S1060" i="16"/>
  <c r="S1065" i="16"/>
  <c r="S1071" i="16"/>
  <c r="S1076" i="16"/>
  <c r="S1081" i="16"/>
  <c r="S1087" i="16"/>
  <c r="S1092" i="16"/>
  <c r="S1097" i="16"/>
  <c r="S1103" i="16"/>
  <c r="S1108" i="16"/>
  <c r="S1113" i="16"/>
  <c r="S1119" i="16"/>
  <c r="S1124" i="16"/>
  <c r="S1129" i="16"/>
  <c r="S1135" i="16"/>
  <c r="S1140" i="16"/>
  <c r="S1145" i="16"/>
  <c r="S1151" i="16"/>
  <c r="S1156" i="16"/>
  <c r="S1161" i="16"/>
  <c r="S1167" i="16"/>
  <c r="S1172" i="16"/>
  <c r="S1177" i="16"/>
  <c r="S1183" i="16"/>
  <c r="S1188" i="16"/>
  <c r="S1193" i="16"/>
  <c r="S1199" i="16"/>
  <c r="S1204" i="16"/>
  <c r="S1209" i="16"/>
  <c r="S1215" i="16"/>
  <c r="S1220" i="16"/>
  <c r="S1225" i="16"/>
  <c r="S1231" i="16"/>
  <c r="S1236" i="16"/>
  <c r="S1241" i="16"/>
  <c r="S1247" i="16"/>
  <c r="S1252" i="16"/>
  <c r="S1257" i="16"/>
  <c r="S1263" i="16"/>
  <c r="S1268" i="16"/>
  <c r="S1273" i="16"/>
  <c r="S1279" i="16"/>
  <c r="S1284" i="16"/>
  <c r="S1289" i="16"/>
  <c r="S1295" i="16"/>
  <c r="S1300" i="16"/>
  <c r="S1305" i="16"/>
  <c r="S1311" i="16"/>
  <c r="S1316" i="16"/>
  <c r="S1321" i="16"/>
  <c r="S1327" i="16"/>
  <c r="S1332" i="16"/>
  <c r="S1337" i="16"/>
  <c r="S1343" i="16"/>
  <c r="S1348" i="16"/>
  <c r="S1353" i="16"/>
  <c r="S1359" i="16"/>
  <c r="S1364" i="16"/>
  <c r="S1369" i="16"/>
  <c r="S1375" i="16"/>
  <c r="S1380" i="16"/>
  <c r="S1385" i="16"/>
  <c r="S1391" i="16"/>
  <c r="S1396" i="16"/>
  <c r="S1401" i="16"/>
  <c r="S1407" i="16"/>
  <c r="S1412" i="16"/>
  <c r="S1417" i="16"/>
  <c r="S1423" i="16"/>
  <c r="S1428" i="16"/>
  <c r="S1433" i="16"/>
  <c r="S1439" i="16"/>
  <c r="S1444" i="16"/>
  <c r="S1449" i="16"/>
  <c r="S1455" i="16"/>
  <c r="S1460" i="16"/>
  <c r="S1465" i="16"/>
  <c r="S1471" i="16"/>
  <c r="S1476" i="16"/>
  <c r="S1481" i="16"/>
  <c r="S1487" i="16"/>
  <c r="S1492" i="16"/>
  <c r="S1497" i="16"/>
  <c r="S1503" i="16"/>
  <c r="S1508" i="16"/>
  <c r="S1513" i="16"/>
  <c r="S1519" i="16"/>
  <c r="S1524" i="16"/>
  <c r="S1529" i="16"/>
  <c r="S29" i="16"/>
  <c r="S106" i="16"/>
  <c r="S190" i="16"/>
  <c r="S278" i="16"/>
  <c r="S334" i="16"/>
  <c r="S376" i="16"/>
  <c r="S420" i="16"/>
  <c r="S462" i="16"/>
  <c r="S499" i="16"/>
  <c r="S524" i="16"/>
  <c r="S545" i="16"/>
  <c r="S566" i="16"/>
  <c r="S588" i="16"/>
  <c r="S609" i="16"/>
  <c r="S630" i="16"/>
  <c r="S646" i="16"/>
  <c r="S667" i="16"/>
  <c r="S689" i="16"/>
  <c r="S710" i="16"/>
  <c r="S731" i="16"/>
  <c r="S753" i="16"/>
  <c r="S774" i="16"/>
  <c r="S795" i="16"/>
  <c r="S817" i="16"/>
  <c r="S838" i="16"/>
  <c r="S859" i="16"/>
  <c r="S881" i="16"/>
  <c r="S902" i="16"/>
  <c r="S919" i="16"/>
  <c r="S938" i="16"/>
  <c r="S951" i="16"/>
  <c r="S966" i="16"/>
  <c r="S979" i="16"/>
  <c r="S989" i="16"/>
  <c r="S1000" i="16"/>
  <c r="S1011" i="16"/>
  <c r="S1021" i="16"/>
  <c r="S1032" i="16"/>
  <c r="S1043" i="16"/>
  <c r="S1053" i="16"/>
  <c r="S1064" i="16"/>
  <c r="S1075" i="16"/>
  <c r="S1085" i="16"/>
  <c r="S1096" i="16"/>
  <c r="S1107" i="16"/>
  <c r="S1117" i="16"/>
  <c r="S1128" i="16"/>
  <c r="S1139" i="16"/>
  <c r="S1149" i="16"/>
  <c r="S1160" i="16"/>
  <c r="S1171" i="16"/>
  <c r="S1181" i="16"/>
  <c r="S1192" i="16"/>
  <c r="S1203" i="16"/>
  <c r="S1213" i="16"/>
  <c r="S1224" i="16"/>
  <c r="S1235" i="16"/>
  <c r="S1245" i="16"/>
  <c r="S1256" i="16"/>
  <c r="S1267" i="16"/>
  <c r="S1277" i="16"/>
  <c r="S1288" i="16"/>
  <c r="S1299" i="16"/>
  <c r="S1309" i="16"/>
  <c r="S1320" i="16"/>
  <c r="S1331" i="16"/>
  <c r="S1341" i="16"/>
  <c r="S1352" i="16"/>
  <c r="S1363" i="16"/>
  <c r="S1373" i="16"/>
  <c r="S1384" i="16"/>
  <c r="S1395" i="16"/>
  <c r="S1405" i="16"/>
  <c r="S1416" i="16"/>
  <c r="S1427" i="16"/>
  <c r="S1437" i="16"/>
  <c r="S1448" i="16"/>
  <c r="S1459" i="16"/>
  <c r="S1469" i="16"/>
  <c r="S1480" i="16"/>
  <c r="S1491" i="16"/>
  <c r="S1501" i="16"/>
  <c r="S1512" i="16"/>
  <c r="S1523" i="16"/>
  <c r="S1532" i="16"/>
  <c r="S1537" i="16"/>
  <c r="S1543" i="16"/>
  <c r="S1548" i="16"/>
  <c r="S1553" i="16"/>
  <c r="S1559" i="16"/>
  <c r="S1564" i="16"/>
  <c r="S1569" i="16"/>
  <c r="S1575" i="16"/>
  <c r="S1580" i="16"/>
  <c r="S1585" i="16"/>
  <c r="S1591" i="16"/>
  <c r="S1596" i="16"/>
  <c r="S1601" i="16"/>
  <c r="S1607" i="16"/>
  <c r="S1612" i="16"/>
  <c r="S1617" i="16"/>
  <c r="S1623" i="16"/>
  <c r="S1628" i="16"/>
  <c r="S1633" i="16"/>
  <c r="S1639" i="16"/>
  <c r="S1644" i="16"/>
  <c r="S1649" i="16"/>
  <c r="S1655" i="16"/>
  <c r="S1660" i="16"/>
  <c r="S1665" i="16"/>
  <c r="S1671" i="16"/>
  <c r="S1676" i="16"/>
  <c r="S1681" i="16"/>
  <c r="S1687" i="16"/>
  <c r="S1692" i="16"/>
  <c r="S1697" i="16"/>
  <c r="S1703" i="16"/>
  <c r="S1708" i="16"/>
  <c r="S1713" i="16"/>
  <c r="S1719" i="16"/>
  <c r="S1724" i="16"/>
  <c r="S1729" i="16"/>
  <c r="S1735" i="16"/>
  <c r="S1740" i="16"/>
  <c r="S1745" i="16"/>
  <c r="S1751" i="16"/>
  <c r="S1756" i="16"/>
  <c r="S1761" i="16"/>
  <c r="S1767" i="16"/>
  <c r="S1772" i="16"/>
  <c r="S1777" i="16"/>
  <c r="S1783" i="16"/>
  <c r="S1788" i="16"/>
  <c r="S1793" i="16"/>
  <c r="S1799" i="16"/>
  <c r="S1804" i="16"/>
  <c r="S1809" i="16"/>
  <c r="S1815" i="16"/>
  <c r="S1820" i="16"/>
  <c r="S1825" i="16"/>
  <c r="S1830" i="16"/>
  <c r="S1834" i="16"/>
  <c r="S1840" i="16"/>
  <c r="S1844" i="16"/>
  <c r="S1848" i="16"/>
  <c r="S1852" i="16"/>
  <c r="S1856" i="16"/>
  <c r="S1860" i="16"/>
  <c r="S1864" i="16"/>
  <c r="S1868" i="16"/>
  <c r="S1872" i="16"/>
  <c r="S1876" i="16"/>
  <c r="S1880" i="16"/>
  <c r="S1884" i="16"/>
  <c r="S1888" i="16"/>
  <c r="S1892" i="16"/>
  <c r="S1896" i="16"/>
  <c r="S1900" i="16"/>
  <c r="S1904" i="16"/>
  <c r="S1908" i="16"/>
  <c r="S1912" i="16"/>
  <c r="S1916" i="16"/>
  <c r="S1920" i="16"/>
  <c r="S1924" i="16"/>
  <c r="S1928" i="16"/>
  <c r="S1932" i="16"/>
  <c r="S1936" i="16"/>
  <c r="S1940" i="16"/>
  <c r="S1944" i="16"/>
  <c r="S1948" i="16"/>
  <c r="S1952" i="16"/>
  <c r="S1956" i="16"/>
  <c r="S1960" i="16"/>
  <c r="S1964" i="16"/>
  <c r="S1968" i="16"/>
  <c r="S1972" i="16"/>
  <c r="S1976" i="16"/>
  <c r="S1980" i="16"/>
  <c r="S1984" i="16"/>
  <c r="S1988" i="16"/>
  <c r="S1992" i="16"/>
  <c r="S1996" i="16"/>
  <c r="S2000" i="16"/>
  <c r="S2004" i="16"/>
  <c r="S2008" i="16"/>
  <c r="S2012" i="16"/>
  <c r="S2016" i="16"/>
  <c r="S2020" i="16"/>
  <c r="S2024" i="16"/>
  <c r="S2028" i="16"/>
  <c r="S2032" i="16"/>
  <c r="S2036" i="16"/>
  <c r="S2040" i="16"/>
  <c r="S2044" i="16"/>
  <c r="S2048" i="16"/>
  <c r="S2052" i="16"/>
  <c r="S2056" i="16"/>
  <c r="S2060" i="16"/>
  <c r="S2064" i="16"/>
  <c r="S2068" i="16"/>
  <c r="S2072" i="16"/>
  <c r="S2076" i="16"/>
  <c r="S2080" i="16"/>
  <c r="S2084" i="16"/>
  <c r="S2088" i="16"/>
  <c r="S2092" i="16"/>
  <c r="S2096" i="16"/>
  <c r="S2100" i="16"/>
  <c r="S2104" i="16"/>
  <c r="S2108" i="16"/>
  <c r="S2112" i="16"/>
  <c r="S2116" i="16"/>
  <c r="S2120" i="16"/>
  <c r="S2124" i="16"/>
  <c r="S2128" i="16"/>
  <c r="S2132" i="16"/>
  <c r="S2136" i="16"/>
  <c r="S2140" i="16"/>
  <c r="S2144" i="16"/>
  <c r="S2148" i="16"/>
  <c r="S2152" i="16"/>
  <c r="S2156" i="16"/>
  <c r="S2160" i="16"/>
  <c r="S2164" i="16"/>
  <c r="S2168" i="16"/>
  <c r="S2172" i="16"/>
  <c r="S2176" i="16"/>
  <c r="S2180" i="16"/>
  <c r="S2184" i="16"/>
  <c r="S2188" i="16"/>
  <c r="S2192" i="16"/>
  <c r="S2196" i="16"/>
  <c r="S2200" i="16"/>
  <c r="S2204" i="16"/>
  <c r="S2208" i="16"/>
  <c r="S2212" i="16"/>
  <c r="S2216" i="16"/>
  <c r="S2220" i="16"/>
  <c r="S2224" i="16"/>
  <c r="S2228" i="16"/>
  <c r="S2232" i="16"/>
  <c r="S2236" i="16"/>
  <c r="S2240" i="16"/>
  <c r="S2244" i="16"/>
  <c r="S2248" i="16"/>
  <c r="S2252" i="16"/>
  <c r="S2256" i="16"/>
  <c r="S2260" i="16"/>
  <c r="S2264" i="16"/>
  <c r="S2268" i="16"/>
  <c r="S2272" i="16"/>
  <c r="S2276" i="16"/>
  <c r="S2280" i="16"/>
  <c r="S2284" i="16"/>
  <c r="S2288" i="16"/>
  <c r="S2292" i="16"/>
  <c r="S2296" i="16"/>
  <c r="S2300" i="16"/>
  <c r="S2304" i="16"/>
  <c r="S2308" i="16"/>
  <c r="S64" i="16"/>
  <c r="S150" i="16"/>
  <c r="S234" i="16"/>
  <c r="S312" i="16"/>
  <c r="S356" i="16"/>
  <c r="S398" i="16"/>
  <c r="S440" i="16"/>
  <c r="S484" i="16"/>
  <c r="S513" i="16"/>
  <c r="S534" i="16"/>
  <c r="S556" i="16"/>
  <c r="S577" i="16"/>
  <c r="S598" i="16"/>
  <c r="S620" i="16"/>
  <c r="S641" i="16"/>
  <c r="S657" i="16"/>
  <c r="S678" i="16"/>
  <c r="S699" i="16"/>
  <c r="S721" i="16"/>
  <c r="S742" i="16"/>
  <c r="S763" i="16"/>
  <c r="S785" i="16"/>
  <c r="S806" i="16"/>
  <c r="S827" i="16"/>
  <c r="S849" i="16"/>
  <c r="S870" i="16"/>
  <c r="S891" i="16"/>
  <c r="S930" i="16"/>
  <c r="S945" i="16"/>
  <c r="S959" i="16"/>
  <c r="S973" i="16"/>
  <c r="S984" i="16"/>
  <c r="S995" i="16"/>
  <c r="S1005" i="16"/>
  <c r="S1016" i="16"/>
  <c r="S1027" i="16"/>
  <c r="S1037" i="16"/>
  <c r="S1048" i="16"/>
  <c r="S1059" i="16"/>
  <c r="S1069" i="16"/>
  <c r="S1080" i="16"/>
  <c r="S1091" i="16"/>
  <c r="S1101" i="16"/>
  <c r="S1112" i="16"/>
  <c r="S1123" i="16"/>
  <c r="S1133" i="16"/>
  <c r="S1144" i="16"/>
  <c r="S1155" i="16"/>
  <c r="S1165" i="16"/>
  <c r="S1176" i="16"/>
  <c r="S1187" i="16"/>
  <c r="S1197" i="16"/>
  <c r="S1208" i="16"/>
  <c r="S1219" i="16"/>
  <c r="S1229" i="16"/>
  <c r="S1240" i="16"/>
  <c r="S1251" i="16"/>
  <c r="S1261" i="16"/>
  <c r="S1272" i="16"/>
  <c r="S1283" i="16"/>
  <c r="S1293" i="16"/>
  <c r="S1304" i="16"/>
  <c r="S1315" i="16"/>
  <c r="S1325" i="16"/>
  <c r="S1336" i="16"/>
  <c r="S1347" i="16"/>
  <c r="S1357" i="16"/>
  <c r="S1368" i="16"/>
  <c r="S1379" i="16"/>
  <c r="S1389" i="16"/>
  <c r="S1400" i="16"/>
  <c r="S1411" i="16"/>
  <c r="S1421" i="16"/>
  <c r="S1432" i="16"/>
  <c r="S1443" i="16"/>
  <c r="S1453" i="16"/>
  <c r="S1464" i="16"/>
  <c r="S1475" i="16"/>
  <c r="S1485" i="16"/>
  <c r="S1496" i="16"/>
  <c r="S1507" i="16"/>
  <c r="S1517" i="16"/>
  <c r="S1528" i="16"/>
  <c r="S1535" i="16"/>
  <c r="S1540" i="16"/>
  <c r="S1545" i="16"/>
  <c r="S1551" i="16"/>
  <c r="S1556" i="16"/>
  <c r="S1561" i="16"/>
  <c r="S1567" i="16"/>
  <c r="S1572" i="16"/>
  <c r="S1577" i="16"/>
  <c r="S1583" i="16"/>
  <c r="S1588" i="16"/>
  <c r="S1593" i="16"/>
  <c r="S1599" i="16"/>
  <c r="S1604" i="16"/>
  <c r="S1609" i="16"/>
  <c r="S1615" i="16"/>
  <c r="S1620" i="16"/>
  <c r="S1625" i="16"/>
  <c r="S1631" i="16"/>
  <c r="S1636" i="16"/>
  <c r="S1641" i="16"/>
  <c r="S1647" i="16"/>
  <c r="S1652" i="16"/>
  <c r="S1657" i="16"/>
  <c r="S1663" i="16"/>
  <c r="S1668" i="16"/>
  <c r="S1673" i="16"/>
  <c r="S1679" i="16"/>
  <c r="S1684" i="16"/>
  <c r="S1689" i="16"/>
  <c r="S1695" i="16"/>
  <c r="S1700" i="16"/>
  <c r="S1705" i="16"/>
  <c r="S1711" i="16"/>
  <c r="S1716" i="16"/>
  <c r="S1721" i="16"/>
  <c r="S1727" i="16"/>
  <c r="S1732" i="16"/>
  <c r="S1737" i="16"/>
  <c r="S1743" i="16"/>
  <c r="S1748" i="16"/>
  <c r="S1753" i="16"/>
  <c r="S1759" i="16"/>
  <c r="S1764" i="16"/>
  <c r="S1769" i="16"/>
  <c r="S1775" i="16"/>
  <c r="S1780" i="16"/>
  <c r="S1785" i="16"/>
  <c r="S1791" i="16"/>
  <c r="S1796" i="16"/>
  <c r="S1801" i="16"/>
  <c r="S1807" i="16"/>
  <c r="S1812" i="16"/>
  <c r="S1817" i="16"/>
  <c r="S1823" i="16"/>
  <c r="S1828" i="16"/>
  <c r="S1832" i="16"/>
  <c r="S1836" i="16"/>
  <c r="S1838" i="16"/>
  <c r="S1842" i="16"/>
  <c r="S1846" i="16"/>
  <c r="S1850" i="16"/>
  <c r="S1854" i="16"/>
  <c r="S1858" i="16"/>
  <c r="S1862" i="16"/>
  <c r="S1866" i="16"/>
  <c r="S1870" i="16"/>
  <c r="S1874" i="16"/>
  <c r="S1878" i="16"/>
  <c r="S1882" i="16"/>
  <c r="S1886" i="16"/>
  <c r="S1890" i="16"/>
  <c r="S1894" i="16"/>
  <c r="S1898" i="16"/>
  <c r="S1902" i="16"/>
  <c r="S1906" i="16"/>
  <c r="S1910" i="16"/>
  <c r="S1914" i="16"/>
  <c r="S1918" i="16"/>
  <c r="S1922" i="16"/>
  <c r="S1926" i="16"/>
  <c r="S1930" i="16"/>
  <c r="S1934" i="16"/>
  <c r="S1938" i="16"/>
  <c r="S1942" i="16"/>
  <c r="S1946" i="16"/>
  <c r="S1950" i="16"/>
  <c r="S1954" i="16"/>
  <c r="S1958" i="16"/>
  <c r="S1962" i="16"/>
  <c r="S1966" i="16"/>
  <c r="S1970" i="16"/>
  <c r="S1974" i="16"/>
  <c r="S1978" i="16"/>
  <c r="S1982" i="16"/>
  <c r="S1986" i="16"/>
  <c r="S1990" i="16"/>
  <c r="S1994" i="16"/>
  <c r="S1998" i="16"/>
  <c r="S2002" i="16"/>
  <c r="S2006" i="16"/>
  <c r="S2010" i="16"/>
  <c r="S2014" i="16"/>
  <c r="S2018" i="16"/>
  <c r="S2022" i="16"/>
  <c r="S2026" i="16"/>
  <c r="S2030" i="16"/>
  <c r="S2034" i="16"/>
  <c r="S2038" i="16"/>
  <c r="S2042" i="16"/>
  <c r="S2046" i="16"/>
  <c r="S2050" i="16"/>
  <c r="S2054" i="16"/>
  <c r="S2058" i="16"/>
  <c r="S2062" i="16"/>
  <c r="S2066" i="16"/>
  <c r="S2070" i="16"/>
  <c r="S2074" i="16"/>
  <c r="S2078" i="16"/>
  <c r="S2082" i="16"/>
  <c r="S2086" i="16"/>
  <c r="S2090" i="16"/>
  <c r="S2094" i="16"/>
  <c r="S2098" i="16"/>
  <c r="S2102" i="16"/>
  <c r="S2106" i="16"/>
  <c r="S2110" i="16"/>
  <c r="S2114" i="16"/>
  <c r="S2118" i="16"/>
  <c r="S2122" i="16"/>
  <c r="S2126" i="16"/>
  <c r="S2130" i="16"/>
  <c r="S2134" i="16"/>
  <c r="S2138" i="16"/>
  <c r="S2142" i="16"/>
  <c r="S2146" i="16"/>
  <c r="S2150" i="16"/>
  <c r="S2154" i="16"/>
  <c r="S2158" i="16"/>
  <c r="S2162" i="16"/>
  <c r="S2166" i="16"/>
  <c r="S2170" i="16"/>
  <c r="S2174" i="16"/>
  <c r="S2178" i="16"/>
  <c r="S2182" i="16"/>
  <c r="S2186" i="16"/>
  <c r="S2190" i="16"/>
  <c r="S2194" i="16"/>
  <c r="S2198" i="16"/>
  <c r="S2202" i="16"/>
  <c r="S2206" i="16"/>
  <c r="S2210" i="16"/>
  <c r="S2214" i="16"/>
  <c r="S2218" i="16"/>
  <c r="S2222" i="16"/>
  <c r="S2226" i="16"/>
  <c r="S2230" i="16"/>
  <c r="S2234" i="16"/>
  <c r="S2238" i="16"/>
  <c r="S2242" i="16"/>
  <c r="S2246" i="16"/>
  <c r="S2250" i="16"/>
  <c r="S2254" i="16"/>
  <c r="S2258" i="16"/>
  <c r="S2262" i="16"/>
  <c r="S2266" i="16"/>
  <c r="S2270" i="16"/>
  <c r="S2274" i="16"/>
  <c r="S2278" i="16"/>
  <c r="S2282" i="16"/>
  <c r="S2286" i="16"/>
  <c r="S2290" i="16"/>
  <c r="S2294" i="16"/>
  <c r="S2298" i="16"/>
  <c r="S2302" i="16"/>
  <c r="S2306" i="16"/>
  <c r="E2397" i="16"/>
  <c r="I2397" i="16"/>
  <c r="E2337" i="16"/>
  <c r="E2343" i="16"/>
  <c r="H2320" i="16"/>
  <c r="G2364" i="16"/>
  <c r="H2328" i="16"/>
  <c r="E2322" i="16"/>
  <c r="J2328" i="16"/>
  <c r="F2374" i="16"/>
  <c r="H2382" i="16"/>
  <c r="D2382" i="16"/>
  <c r="E2366" i="16"/>
  <c r="I2333" i="16"/>
  <c r="J2393" i="16"/>
  <c r="G2418" i="16"/>
  <c r="H2380" i="16"/>
  <c r="E2380" i="16"/>
  <c r="I2366" i="16"/>
  <c r="H2366" i="16"/>
  <c r="J2404" i="16"/>
  <c r="E2384" i="16"/>
  <c r="F2418" i="16"/>
  <c r="G2384" i="16"/>
  <c r="A43" i="2"/>
  <c r="C4" i="3"/>
  <c r="A60" i="2"/>
  <c r="C4" i="14"/>
  <c r="B11" i="3"/>
  <c r="C9" i="3"/>
  <c r="A44" i="2"/>
  <c r="B3" i="10"/>
  <c r="J51" i="10"/>
  <c r="C28" i="3"/>
  <c r="I15" i="10"/>
  <c r="C15" i="10" s="1"/>
  <c r="I10" i="10"/>
  <c r="C10" i="10" s="1"/>
  <c r="I54" i="10"/>
  <c r="J61" i="10"/>
  <c r="J25" i="10"/>
  <c r="A4" i="14"/>
  <c r="B3" i="3"/>
  <c r="A1" i="10"/>
  <c r="J6" i="10"/>
  <c r="J21" i="10"/>
  <c r="I59" i="10"/>
  <c r="A20" i="2"/>
  <c r="I40" i="10"/>
  <c r="C20" i="3"/>
  <c r="J8" i="10"/>
  <c r="A13" i="2"/>
  <c r="N4" i="16"/>
  <c r="B26" i="4"/>
  <c r="A15" i="10" s="1"/>
  <c r="A67" i="2"/>
  <c r="I53" i="10"/>
  <c r="B13" i="4"/>
  <c r="B42" i="1"/>
  <c r="I8" i="10"/>
  <c r="C8" i="10" s="1"/>
  <c r="B23" i="3"/>
  <c r="I11" i="10"/>
  <c r="A25" i="2"/>
  <c r="A69" i="2"/>
  <c r="A42" i="2"/>
  <c r="C27" i="3"/>
  <c r="F4" i="14"/>
  <c r="B27" i="4"/>
  <c r="A16" i="10" s="1"/>
  <c r="C29" i="3"/>
  <c r="J46" i="10"/>
  <c r="A27" i="2"/>
  <c r="B68" i="4"/>
  <c r="A49" i="10" s="1"/>
  <c r="B8" i="4"/>
  <c r="A4" i="10" s="1"/>
  <c r="I42" i="10"/>
  <c r="B31" i="3"/>
  <c r="A15" i="2"/>
  <c r="B7" i="3"/>
  <c r="B38" i="4"/>
  <c r="B50" i="4" s="1"/>
  <c r="A35" i="10" s="1"/>
  <c r="G22" i="10"/>
  <c r="H22" i="10" s="1"/>
  <c r="D22" i="10" s="1"/>
  <c r="F27" i="10"/>
  <c r="S2305" i="16"/>
  <c r="S2297" i="16"/>
  <c r="S2289" i="16"/>
  <c r="S2281" i="16"/>
  <c r="S2273" i="16"/>
  <c r="S2265" i="16"/>
  <c r="S2257" i="16"/>
  <c r="S2249" i="16"/>
  <c r="S2241" i="16"/>
  <c r="S2233" i="16"/>
  <c r="S2225" i="16"/>
  <c r="S2217" i="16"/>
  <c r="S2209" i="16"/>
  <c r="S2201" i="16"/>
  <c r="S2193" i="16"/>
  <c r="S2185" i="16"/>
  <c r="S2177" i="16"/>
  <c r="S2169" i="16"/>
  <c r="S2161" i="16"/>
  <c r="S2153" i="16"/>
  <c r="S2145" i="16"/>
  <c r="S2137" i="16"/>
  <c r="S2129" i="16"/>
  <c r="S2121" i="16"/>
  <c r="S2113" i="16"/>
  <c r="S2105" i="16"/>
  <c r="S2097" i="16"/>
  <c r="S2089" i="16"/>
  <c r="S2081" i="16"/>
  <c r="S2073" i="16"/>
  <c r="S2065" i="16"/>
  <c r="S2057" i="16"/>
  <c r="S2049" i="16"/>
  <c r="S2041" i="16"/>
  <c r="S2033" i="16"/>
  <c r="S2025" i="16"/>
  <c r="S2017" i="16"/>
  <c r="S2009" i="16"/>
  <c r="S2001" i="16"/>
  <c r="S1993" i="16"/>
  <c r="S1985" i="16"/>
  <c r="S1977" i="16"/>
  <c r="S1969" i="16"/>
  <c r="S1961" i="16"/>
  <c r="S1953" i="16"/>
  <c r="S1945" i="16"/>
  <c r="S1937" i="16"/>
  <c r="S1929" i="16"/>
  <c r="S1921" i="16"/>
  <c r="S1913" i="16"/>
  <c r="S1905" i="16"/>
  <c r="S1897" i="16"/>
  <c r="S1889" i="16"/>
  <c r="S1881" i="16"/>
  <c r="S1873" i="16"/>
  <c r="S1865" i="16"/>
  <c r="S1857" i="16"/>
  <c r="S1849" i="16"/>
  <c r="S1841" i="16"/>
  <c r="S1835" i="16"/>
  <c r="S1827" i="16"/>
  <c r="S1816" i="16"/>
  <c r="S1805" i="16"/>
  <c r="S1795" i="16"/>
  <c r="S1784" i="16"/>
  <c r="S1773" i="16"/>
  <c r="S1763" i="16"/>
  <c r="S1752" i="16"/>
  <c r="S1741" i="16"/>
  <c r="S1731" i="16"/>
  <c r="S1720" i="16"/>
  <c r="S1709" i="16"/>
  <c r="S1699" i="16"/>
  <c r="S1688" i="16"/>
  <c r="S1677" i="16"/>
  <c r="S1667" i="16"/>
  <c r="S1656" i="16"/>
  <c r="S1645" i="16"/>
  <c r="S1635" i="16"/>
  <c r="S1624" i="16"/>
  <c r="S1613" i="16"/>
  <c r="S1603" i="16"/>
  <c r="S1592" i="16"/>
  <c r="S1581" i="16"/>
  <c r="S1571" i="16"/>
  <c r="S1560" i="16"/>
  <c r="S1549" i="16"/>
  <c r="S1539" i="16"/>
  <c r="S1525" i="16"/>
  <c r="S1504" i="16"/>
  <c r="S1483" i="16"/>
  <c r="S1461" i="16"/>
  <c r="S1440" i="16"/>
  <c r="S1419" i="16"/>
  <c r="S1397" i="16"/>
  <c r="S1376" i="16"/>
  <c r="S1355" i="16"/>
  <c r="S1333" i="16"/>
  <c r="S1312" i="16"/>
  <c r="S1291" i="16"/>
  <c r="S1269" i="16"/>
  <c r="S1248" i="16"/>
  <c r="S1227" i="16"/>
  <c r="S1205" i="16"/>
  <c r="S1184" i="16"/>
  <c r="S1163" i="16"/>
  <c r="S1141" i="16"/>
  <c r="S1120" i="16"/>
  <c r="S1099" i="16"/>
  <c r="S1077" i="16"/>
  <c r="S1056" i="16"/>
  <c r="S1035" i="16"/>
  <c r="S1013" i="16"/>
  <c r="S992" i="16"/>
  <c r="S970" i="16"/>
  <c r="S941" i="16"/>
  <c r="S907" i="16"/>
  <c r="S865" i="16"/>
  <c r="S822" i="16"/>
  <c r="S779" i="16"/>
  <c r="S737" i="16"/>
  <c r="S694" i="16"/>
  <c r="S651" i="16"/>
  <c r="S636" i="16"/>
  <c r="S593" i="16"/>
  <c r="S550" i="16"/>
  <c r="S507" i="16"/>
  <c r="S430" i="16"/>
  <c r="S344" i="16"/>
  <c r="S214" i="16"/>
  <c r="S47" i="16"/>
  <c r="B13" i="3"/>
  <c r="B41" i="4"/>
  <c r="B59" i="4" s="1"/>
  <c r="A43" i="10" s="1"/>
  <c r="S11" i="16"/>
  <c r="S15" i="16"/>
  <c r="S20" i="16"/>
  <c r="S24" i="16"/>
  <c r="S28" i="16"/>
  <c r="S31" i="16"/>
  <c r="S34" i="16"/>
  <c r="S38" i="16"/>
  <c r="S42" i="16"/>
  <c r="S46" i="16"/>
  <c r="S49" i="16"/>
  <c r="S53" i="16"/>
  <c r="S57" i="16"/>
  <c r="S63" i="16"/>
  <c r="S67" i="16"/>
  <c r="S71" i="16"/>
  <c r="S75" i="16"/>
  <c r="S79" i="16"/>
  <c r="S83" i="16"/>
  <c r="S87" i="16"/>
  <c r="S91" i="16"/>
  <c r="S97" i="16"/>
  <c r="S101" i="16"/>
  <c r="S105" i="16"/>
  <c r="S109" i="16"/>
  <c r="S113" i="16"/>
  <c r="S117" i="16"/>
  <c r="S121" i="16"/>
  <c r="S125" i="16"/>
  <c r="S129" i="16"/>
  <c r="S133" i="16"/>
  <c r="S137" i="16"/>
  <c r="S141" i="16"/>
  <c r="S145" i="16"/>
  <c r="S149" i="16"/>
  <c r="S153" i="16"/>
  <c r="S157" i="16"/>
  <c r="S161" i="16"/>
  <c r="S165" i="16"/>
  <c r="S169" i="16"/>
  <c r="S173" i="16"/>
  <c r="S177" i="16"/>
  <c r="S181" i="16"/>
  <c r="S185" i="16"/>
  <c r="S189" i="16"/>
  <c r="S193" i="16"/>
  <c r="S197" i="16"/>
  <c r="S201" i="16"/>
  <c r="S205" i="16"/>
  <c r="S209" i="16"/>
  <c r="S213" i="16"/>
  <c r="S217" i="16"/>
  <c r="S221" i="16"/>
  <c r="S225" i="16"/>
  <c r="S229" i="16"/>
  <c r="S233" i="16"/>
  <c r="S237" i="16"/>
  <c r="S241" i="16"/>
  <c r="S245" i="16"/>
  <c r="S249" i="16"/>
  <c r="S253" i="16"/>
  <c r="S257" i="16"/>
  <c r="S261" i="16"/>
  <c r="S265" i="16"/>
  <c r="S269" i="16"/>
  <c r="S273" i="16"/>
  <c r="S277" i="16"/>
  <c r="S281" i="16"/>
  <c r="S285" i="16"/>
  <c r="S289" i="16"/>
  <c r="S293" i="16"/>
  <c r="S297" i="16"/>
  <c r="S301" i="16"/>
  <c r="S305" i="16"/>
  <c r="S7" i="16"/>
  <c r="S13" i="16"/>
  <c r="S18" i="16"/>
  <c r="S22" i="16"/>
  <c r="S26" i="16"/>
  <c r="S30" i="16"/>
  <c r="S32" i="16"/>
  <c r="S36" i="16"/>
  <c r="S40" i="16"/>
  <c r="S44" i="16"/>
  <c r="S51" i="16"/>
  <c r="S55" i="16"/>
  <c r="S59" i="16"/>
  <c r="S61" i="16"/>
  <c r="S65" i="16"/>
  <c r="S69" i="16"/>
  <c r="S73" i="16"/>
  <c r="S77" i="16"/>
  <c r="S81" i="16"/>
  <c r="S85" i="16"/>
  <c r="S89" i="16"/>
  <c r="S93" i="16"/>
  <c r="S95" i="16"/>
  <c r="S99" i="16"/>
  <c r="S103" i="16"/>
  <c r="S107" i="16"/>
  <c r="S111" i="16"/>
  <c r="S115" i="16"/>
  <c r="S119" i="16"/>
  <c r="S123" i="16"/>
  <c r="S127" i="16"/>
  <c r="S131" i="16"/>
  <c r="S135" i="16"/>
  <c r="S139" i="16"/>
  <c r="S143" i="16"/>
  <c r="S147" i="16"/>
  <c r="S151" i="16"/>
  <c r="S155" i="16"/>
  <c r="S159" i="16"/>
  <c r="S163" i="16"/>
  <c r="S167" i="16"/>
  <c r="S171" i="16"/>
  <c r="S175" i="16"/>
  <c r="S179" i="16"/>
  <c r="S183" i="16"/>
  <c r="S187" i="16"/>
  <c r="S191" i="16"/>
  <c r="S195" i="16"/>
  <c r="S199" i="16"/>
  <c r="S203" i="16"/>
  <c r="S207" i="16"/>
  <c r="S211" i="16"/>
  <c r="S215" i="16"/>
  <c r="S219" i="16"/>
  <c r="S223" i="16"/>
  <c r="S227" i="16"/>
  <c r="S231" i="16"/>
  <c r="S235" i="16"/>
  <c r="S239" i="16"/>
  <c r="S243" i="16"/>
  <c r="S247" i="16"/>
  <c r="S251" i="16"/>
  <c r="S255" i="16"/>
  <c r="S259" i="16"/>
  <c r="S263" i="16"/>
  <c r="S267" i="16"/>
  <c r="S271" i="16"/>
  <c r="S275" i="16"/>
  <c r="S279" i="16"/>
  <c r="S283" i="16"/>
  <c r="S287" i="16"/>
  <c r="S291" i="16"/>
  <c r="S295" i="16"/>
  <c r="S299" i="16"/>
  <c r="S303" i="16"/>
  <c r="S14" i="16"/>
  <c r="S23" i="16"/>
  <c r="S37" i="16"/>
  <c r="S45" i="16"/>
  <c r="S52" i="16"/>
  <c r="S60" i="16"/>
  <c r="S66" i="16"/>
  <c r="S74" i="16"/>
  <c r="S82" i="16"/>
  <c r="S90" i="16"/>
  <c r="S96" i="16"/>
  <c r="S104" i="16"/>
  <c r="S112" i="16"/>
  <c r="S120" i="16"/>
  <c r="S128" i="16"/>
  <c r="S136" i="16"/>
  <c r="S144" i="16"/>
  <c r="S152" i="16"/>
  <c r="S160" i="16"/>
  <c r="S168" i="16"/>
  <c r="S176" i="16"/>
  <c r="S184" i="16"/>
  <c r="S192" i="16"/>
  <c r="S200" i="16"/>
  <c r="S208" i="16"/>
  <c r="S216" i="16"/>
  <c r="S224" i="16"/>
  <c r="S232" i="16"/>
  <c r="S240" i="16"/>
  <c r="S248" i="16"/>
  <c r="S256" i="16"/>
  <c r="S264" i="16"/>
  <c r="S272" i="16"/>
  <c r="S280" i="16"/>
  <c r="S288" i="16"/>
  <c r="S296" i="16"/>
  <c r="S304" i="16"/>
  <c r="S309" i="16"/>
  <c r="S313" i="16"/>
  <c r="S317" i="16"/>
  <c r="S321" i="16"/>
  <c r="S325" i="16"/>
  <c r="S329" i="16"/>
  <c r="S333" i="16"/>
  <c r="S337" i="16"/>
  <c r="S341" i="16"/>
  <c r="S345" i="16"/>
  <c r="S349" i="16"/>
  <c r="S353" i="16"/>
  <c r="S357" i="16"/>
  <c r="S361" i="16"/>
  <c r="S365" i="16"/>
  <c r="S369" i="16"/>
  <c r="S373" i="16"/>
  <c r="S377" i="16"/>
  <c r="S381" i="16"/>
  <c r="S385" i="16"/>
  <c r="S389" i="16"/>
  <c r="S393" i="16"/>
  <c r="S397" i="16"/>
  <c r="S401" i="16"/>
  <c r="S405" i="16"/>
  <c r="S409" i="16"/>
  <c r="S413" i="16"/>
  <c r="S417" i="16"/>
  <c r="S421" i="16"/>
  <c r="S425" i="16"/>
  <c r="S429" i="16"/>
  <c r="S433" i="16"/>
  <c r="S437" i="16"/>
  <c r="S441" i="16"/>
  <c r="S445" i="16"/>
  <c r="S449" i="16"/>
  <c r="S453" i="16"/>
  <c r="S457" i="16"/>
  <c r="S461" i="16"/>
  <c r="S465" i="16"/>
  <c r="S469" i="16"/>
  <c r="S473" i="16"/>
  <c r="S477" i="16"/>
  <c r="S481" i="16"/>
  <c r="S485" i="16"/>
  <c r="S489" i="16"/>
  <c r="S493" i="16"/>
  <c r="S497" i="16"/>
  <c r="S501" i="16"/>
  <c r="S505" i="16"/>
  <c r="S509" i="16"/>
  <c r="S9" i="16"/>
  <c r="S19" i="16"/>
  <c r="S27" i="16"/>
  <c r="S33" i="16"/>
  <c r="S41" i="16"/>
  <c r="S48" i="16"/>
  <c r="S56" i="16"/>
  <c r="S62" i="16"/>
  <c r="S70" i="16"/>
  <c r="S78" i="16"/>
  <c r="S86" i="16"/>
  <c r="S94" i="16"/>
  <c r="S100" i="16"/>
  <c r="S108" i="16"/>
  <c r="S116" i="16"/>
  <c r="S124" i="16"/>
  <c r="S132" i="16"/>
  <c r="S140" i="16"/>
  <c r="S148" i="16"/>
  <c r="S156" i="16"/>
  <c r="S164" i="16"/>
  <c r="S172" i="16"/>
  <c r="S180" i="16"/>
  <c r="S188" i="16"/>
  <c r="S196" i="16"/>
  <c r="S204" i="16"/>
  <c r="S212" i="16"/>
  <c r="S220" i="16"/>
  <c r="S228" i="16"/>
  <c r="S236" i="16"/>
  <c r="S244" i="16"/>
  <c r="S252" i="16"/>
  <c r="S260" i="16"/>
  <c r="S268" i="16"/>
  <c r="S276" i="16"/>
  <c r="S284" i="16"/>
  <c r="S292" i="16"/>
  <c r="S300" i="16"/>
  <c r="S307" i="16"/>
  <c r="S311" i="16"/>
  <c r="S315" i="16"/>
  <c r="S319" i="16"/>
  <c r="S323" i="16"/>
  <c r="S327" i="16"/>
  <c r="S331" i="16"/>
  <c r="S335" i="16"/>
  <c r="S339" i="16"/>
  <c r="S343" i="16"/>
  <c r="S347" i="16"/>
  <c r="S351" i="16"/>
  <c r="S355" i="16"/>
  <c r="S359" i="16"/>
  <c r="S363" i="16"/>
  <c r="S367" i="16"/>
  <c r="S371" i="16"/>
  <c r="S375" i="16"/>
  <c r="S379" i="16"/>
  <c r="S383" i="16"/>
  <c r="S387" i="16"/>
  <c r="S391" i="16"/>
  <c r="S395" i="16"/>
  <c r="S399" i="16"/>
  <c r="S403" i="16"/>
  <c r="S407" i="16"/>
  <c r="S411" i="16"/>
  <c r="S415" i="16"/>
  <c r="S419" i="16"/>
  <c r="S423" i="16"/>
  <c r="S427" i="16"/>
  <c r="S431" i="16"/>
  <c r="S435" i="16"/>
  <c r="S439" i="16"/>
  <c r="S443" i="16"/>
  <c r="S447" i="16"/>
  <c r="S451" i="16"/>
  <c r="S455" i="16"/>
  <c r="S459" i="16"/>
  <c r="S463" i="16"/>
  <c r="S467" i="16"/>
  <c r="S471" i="16"/>
  <c r="S475" i="16"/>
  <c r="S479" i="16"/>
  <c r="S483" i="16"/>
  <c r="S487" i="16"/>
  <c r="S17" i="16"/>
  <c r="H6" i="10"/>
  <c r="D6" i="10" s="1"/>
  <c r="S10" i="16"/>
  <c r="C22" i="10"/>
  <c r="C18" i="10"/>
  <c r="H25" i="10"/>
  <c r="D25" i="10" s="1"/>
  <c r="F48" i="10"/>
  <c r="H48" i="10" s="1"/>
  <c r="D48" i="10" s="1"/>
  <c r="F38" i="10"/>
  <c r="H38" i="10" s="1"/>
  <c r="D38" i="10" s="1"/>
  <c r="H28" i="10"/>
  <c r="D28" i="10" s="1"/>
  <c r="F33" i="10"/>
  <c r="H33" i="10" s="1"/>
  <c r="D33" i="10" s="1"/>
  <c r="F43" i="10"/>
  <c r="H43" i="10" s="1"/>
  <c r="D43" i="10" s="1"/>
  <c r="C65" i="10"/>
  <c r="C21" i="10"/>
  <c r="C48" i="10"/>
  <c r="C38" i="10"/>
  <c r="C17" i="10"/>
  <c r="C64" i="10"/>
  <c r="H27" i="10"/>
  <c r="D27" i="10" s="1"/>
  <c r="F47" i="10"/>
  <c r="H47" i="10" s="1"/>
  <c r="D47" i="10" s="1"/>
  <c r="C63" i="10"/>
  <c r="F41" i="10"/>
  <c r="H41" i="10" s="1"/>
  <c r="D41" i="10" s="1"/>
  <c r="F46" i="10"/>
  <c r="H46" i="10" s="1"/>
  <c r="D46" i="10" s="1"/>
  <c r="F31" i="10"/>
  <c r="H31" i="10" s="1"/>
  <c r="D31" i="10" s="1"/>
  <c r="F36" i="10"/>
  <c r="H36" i="10" s="1"/>
  <c r="D36" i="10" s="1"/>
  <c r="H26" i="10"/>
  <c r="D26" i="10" s="1"/>
  <c r="C31" i="10"/>
  <c r="F40" i="10"/>
  <c r="H40" i="10" s="1"/>
  <c r="D40" i="10" s="1"/>
  <c r="F30" i="10"/>
  <c r="H30" i="10" s="1"/>
  <c r="D30" i="10" s="1"/>
  <c r="F45" i="10"/>
  <c r="H45" i="10" s="1"/>
  <c r="D45" i="10" s="1"/>
  <c r="F35" i="10"/>
  <c r="H35" i="10" s="1"/>
  <c r="D35" i="10" s="1"/>
  <c r="F50" i="10"/>
  <c r="C13" i="10"/>
  <c r="C12" i="10"/>
  <c r="D68" i="4"/>
  <c r="C11" i="10"/>
  <c r="B45" i="4"/>
  <c r="A31" i="10" s="1"/>
  <c r="C7" i="10"/>
  <c r="G55" i="4"/>
  <c r="D37" i="4"/>
  <c r="G5" i="10"/>
  <c r="H5" i="10" s="1"/>
  <c r="D5" i="10" s="1"/>
  <c r="D31" i="4"/>
  <c r="P37" i="4" s="1"/>
  <c r="Q37" i="4" s="1"/>
  <c r="B37" i="4" s="1"/>
  <c r="A24" i="10" s="1"/>
  <c r="B52" i="4"/>
  <c r="A37" i="10" s="1"/>
  <c r="G68" i="4"/>
  <c r="B46" i="4"/>
  <c r="A32" i="10" s="1"/>
  <c r="B34" i="4"/>
  <c r="A22" i="10" s="1"/>
  <c r="D55" i="4"/>
  <c r="F61" i="10"/>
  <c r="G31" i="4"/>
  <c r="G49" i="4"/>
  <c r="G37" i="4"/>
  <c r="B58" i="4"/>
  <c r="A42" i="10" s="1"/>
  <c r="C4" i="10"/>
  <c r="A18" i="10"/>
  <c r="D61" i="4"/>
  <c r="B62" i="4"/>
  <c r="A45" i="10" s="1"/>
  <c r="A26" i="10"/>
  <c r="D49" i="4"/>
  <c r="B51" i="4"/>
  <c r="A36" i="10" s="1"/>
  <c r="A28" i="10" l="1"/>
  <c r="B65" i="4"/>
  <c r="A48" i="10" s="1"/>
  <c r="C43" i="10"/>
  <c r="B44" i="4"/>
  <c r="A30" i="10" s="1"/>
  <c r="B56" i="4"/>
  <c r="A40" i="10" s="1"/>
  <c r="B33" i="4"/>
  <c r="A21" i="10" s="1"/>
  <c r="A25" i="10"/>
  <c r="B63" i="4"/>
  <c r="A46" i="10" s="1"/>
  <c r="B53" i="4"/>
  <c r="A38" i="10" s="1"/>
  <c r="B47" i="4"/>
  <c r="A33" i="10" s="1"/>
  <c r="C25" i="10"/>
  <c r="C23" i="10"/>
  <c r="C46" i="10"/>
  <c r="A27" i="10"/>
  <c r="C6" i="10"/>
  <c r="G61" i="4"/>
  <c r="B32" i="4"/>
  <c r="A20" i="10" s="1"/>
  <c r="F42" i="10"/>
  <c r="H42" i="10" s="1"/>
  <c r="F37" i="10"/>
  <c r="H37" i="10" s="1"/>
  <c r="F32" i="10"/>
  <c r="H32" i="10" s="1"/>
  <c r="D32" i="10" s="1"/>
  <c r="C30" i="10"/>
  <c r="C33" i="10"/>
  <c r="C28" i="10"/>
  <c r="C41" i="10"/>
  <c r="C27" i="10"/>
  <c r="C47" i="10"/>
  <c r="C40" i="10"/>
  <c r="C35" i="10"/>
  <c r="C36" i="10"/>
  <c r="C26" i="10"/>
  <c r="F58" i="10"/>
  <c r="H58" i="10" s="1"/>
  <c r="F59" i="10"/>
  <c r="H59" i="10" s="1"/>
  <c r="F62" i="10"/>
  <c r="B2" i="10" s="1"/>
  <c r="F63" i="10"/>
  <c r="F64" i="10"/>
  <c r="F57" i="10"/>
  <c r="H57" i="10" s="1"/>
  <c r="F55" i="10"/>
  <c r="H55" i="10" s="1"/>
  <c r="H50" i="10"/>
  <c r="F60" i="10"/>
  <c r="H60" i="10" s="1"/>
  <c r="F51" i="10"/>
  <c r="F53" i="10"/>
  <c r="H53" i="10" s="1"/>
  <c r="F54" i="10"/>
  <c r="H54" i="10" s="1"/>
  <c r="F65" i="10"/>
  <c r="F56" i="10"/>
  <c r="H56" i="10" s="1"/>
  <c r="C45" i="10"/>
  <c r="B75" i="4"/>
  <c r="A54" i="10" s="1"/>
  <c r="B81" i="4"/>
  <c r="A57" i="10" s="1"/>
  <c r="B87" i="4"/>
  <c r="A60" i="10" s="1"/>
  <c r="B73" i="4"/>
  <c r="A53" i="10" s="1"/>
  <c r="B79" i="4"/>
  <c r="A56" i="10" s="1"/>
  <c r="B69" i="4"/>
  <c r="A50" i="10" s="1"/>
  <c r="B77" i="4"/>
  <c r="A55" i="10" s="1"/>
  <c r="B61" i="4"/>
  <c r="A44" i="10" s="1"/>
  <c r="B55" i="4"/>
  <c r="A39" i="10" s="1"/>
  <c r="B83" i="4"/>
  <c r="A58" i="10" s="1"/>
  <c r="B49" i="4"/>
  <c r="A34" i="10" s="1"/>
  <c r="B43" i="4"/>
  <c r="A29" i="10" s="1"/>
  <c r="B71" i="4"/>
  <c r="A51" i="10" s="1"/>
  <c r="B85" i="4"/>
  <c r="A59" i="10" s="1"/>
  <c r="C5" i="10"/>
  <c r="C2" i="10"/>
  <c r="H61" i="10"/>
  <c r="D42" i="10" l="1"/>
  <c r="C42" i="10"/>
  <c r="C32" i="10"/>
  <c r="D37" i="10"/>
  <c r="C37" i="10"/>
  <c r="D54" i="10"/>
  <c r="C54" i="10"/>
  <c r="D50" i="10"/>
  <c r="C50" i="10"/>
  <c r="D53" i="10"/>
  <c r="C53" i="10"/>
  <c r="D55" i="10"/>
  <c r="C55" i="10"/>
  <c r="D56" i="10"/>
  <c r="C56" i="10"/>
  <c r="F52" i="10"/>
  <c r="H52" i="10" s="1"/>
  <c r="H51" i="10"/>
  <c r="D57" i="10"/>
  <c r="C57" i="10"/>
  <c r="D59" i="10"/>
  <c r="C59" i="10"/>
  <c r="D60" i="10"/>
  <c r="C60" i="10"/>
  <c r="D58" i="10"/>
  <c r="C58" i="10"/>
  <c r="D61" i="10"/>
  <c r="C61" i="10"/>
  <c r="D51" i="10" l="1"/>
  <c r="C51" i="10"/>
  <c r="D52" i="10"/>
  <c r="C52" i="10"/>
  <c r="H66" i="10"/>
  <c r="D2" i="10" s="1"/>
  <c r="I3" i="4" s="1"/>
  <c r="B88" i="4" s="1"/>
  <c r="F3" i="4" l="1"/>
</calcChain>
</file>

<file path=xl/comments1.xml><?xml version="1.0" encoding="utf-8"?>
<comments xmlns="http://schemas.openxmlformats.org/spreadsheetml/2006/main">
  <authors>
    <author>a64a</author>
    <author>Connors, Jared M</author>
    <author>John Plyler</author>
  </authors>
  <commentList>
    <comment ref="P3" authorId="0">
      <text>
        <r>
          <rPr>
            <sz val="9"/>
            <color indexed="81"/>
            <rFont val="ＭＳ Ｐゴシック"/>
            <family val="3"/>
            <charset val="128"/>
          </rPr>
          <t>location number in language list</t>
        </r>
      </text>
    </comment>
    <comment ref="B9" authorId="1">
      <text>
        <r>
          <rPr>
            <sz val="8"/>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
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t>
        </r>
      </text>
    </comment>
    <comment ref="P9" authorId="0">
      <text>
        <r>
          <rPr>
            <sz val="9"/>
            <color indexed="81"/>
            <rFont val="ＭＳ Ｐゴシック"/>
            <family val="3"/>
            <charset val="128"/>
          </rPr>
          <t>list for Validation in D9</t>
        </r>
      </text>
    </comment>
    <comment ref="B16" authorId="1">
      <text>
        <r>
          <rPr>
            <sz val="9"/>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t>
        </r>
      </text>
    </comment>
    <comment ref="B20" authorId="1">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B22" authorId="1">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P26" authorId="0">
      <text>
        <r>
          <rPr>
            <sz val="9"/>
            <color indexed="81"/>
            <rFont val="ＭＳ Ｐゴシック"/>
            <family val="3"/>
            <charset val="128"/>
          </rPr>
          <t>condition for answer</t>
        </r>
      </text>
    </comment>
    <comment ref="D3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37"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menú elija una respuesta de "Si", "No", o "Desconocido"
Dalle presente lista, scegliete la risposta: "Si", "No" o "Non conosciuto"</t>
        </r>
      </text>
    </comment>
    <comment ref="Q37" authorId="0">
      <text>
        <r>
          <rPr>
            <sz val="9"/>
            <color indexed="81"/>
            <rFont val="ＭＳ Ｐゴシック"/>
            <family val="3"/>
            <charset val="128"/>
          </rPr>
          <t>condition for answer</t>
        </r>
      </text>
    </comment>
    <comment ref="P38" authorId="0">
      <text>
        <r>
          <rPr>
            <sz val="9"/>
            <color indexed="81"/>
            <rFont val="ＭＳ Ｐゴシック"/>
            <family val="3"/>
            <charset val="128"/>
          </rPr>
          <t>condition for answer Q3 and later</t>
        </r>
      </text>
    </comment>
    <comment ref="D43"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t>
        </r>
      </text>
    </comment>
    <comment ref="D49" authorId="2">
      <text>
        <r>
          <rPr>
            <sz val="9"/>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t>
        </r>
      </text>
    </comment>
    <comment ref="D5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8"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List>
</comments>
</file>

<file path=xl/comments2.xml><?xml version="1.0" encoding="utf-8"?>
<comments xmlns="http://schemas.openxmlformats.org/spreadsheetml/2006/main">
  <authors>
    <author>a64a</author>
  </authors>
  <commentList>
    <comment ref="T3" author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text>
        <r>
          <rPr>
            <b/>
            <sz val="9"/>
            <color indexed="81"/>
            <rFont val="Tahoma"/>
            <family val="2"/>
          </rPr>
          <t>John Plyler:</t>
        </r>
        <r>
          <rPr>
            <sz val="9"/>
            <color indexed="81"/>
            <rFont val="Tahoma"/>
            <family val="2"/>
          </rPr>
          <t xml:space="preserve">
change from F50 to F25 to F28</t>
        </r>
      </text>
    </comment>
    <comment ref="F63" authorId="0">
      <text>
        <r>
          <rPr>
            <b/>
            <sz val="9"/>
            <color indexed="81"/>
            <rFont val="Tahoma"/>
            <family val="2"/>
          </rPr>
          <t>John Plyler:</t>
        </r>
        <r>
          <rPr>
            <sz val="9"/>
            <color indexed="81"/>
            <rFont val="Tahoma"/>
            <family val="2"/>
          </rPr>
          <t xml:space="preserve">
change from F50 to F25 to F28</t>
        </r>
      </text>
    </comment>
    <comment ref="F64" authorId="0">
      <text>
        <r>
          <rPr>
            <b/>
            <sz val="9"/>
            <color indexed="81"/>
            <rFont val="Tahoma"/>
            <family val="2"/>
          </rPr>
          <t>John Plyler:</t>
        </r>
        <r>
          <rPr>
            <sz val="9"/>
            <color indexed="81"/>
            <rFont val="Tahoma"/>
            <family val="2"/>
          </rPr>
          <t xml:space="preserve">
change from F50 to F25 to F28</t>
        </r>
      </text>
    </comment>
    <comment ref="F65" author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John Plyler</author>
  </authors>
  <commentList>
    <comment ref="J155" author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D305" authorId="1">
      <text>
        <r>
          <rPr>
            <b/>
            <sz val="9"/>
            <color indexed="81"/>
            <rFont val="Tahoma"/>
            <family val="2"/>
          </rPr>
          <t>John Plyler:</t>
        </r>
        <r>
          <rPr>
            <sz val="9"/>
            <color indexed="81"/>
            <rFont val="Tahoma"/>
            <family val="2"/>
          </rPr>
          <t xml:space="preserve">
Note that this is a subset from the instructions</t>
        </r>
      </text>
    </comment>
  </commentList>
</comments>
</file>

<file path=xl/sharedStrings.xml><?xml version="1.0" encoding="utf-8"?>
<sst xmlns="http://schemas.openxmlformats.org/spreadsheetml/2006/main" count="45038" uniqueCount="8261">
  <si>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</si>
  <si>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</si>
  <si>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</si>
  <si>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</si>
  <si>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</si>
  <si>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</si>
  <si>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31"/>
  </si>
  <si>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</si>
  <si>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</si>
  <si>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</si>
  <si>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</si>
  <si>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</si>
  <si>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</si>
  <si>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</si>
  <si>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</si>
  <si>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</si>
  <si>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</si>
  <si>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</si>
  <si>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</si>
  <si>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 Metallo (*) - Usare il menu a tendina per selezionare il metallo per il quale state inserendo l'informazione sulle fonderie. Questo campo è obbligatorio</t>
  </si>
  <si>
    <t>2. Nome della fonderia -  Inserire il nome delle fonderie identificate utilizzate dalla vostra azienda e dai vostri fornitori. Utilizzare una linea  diversa per ciascuna combinazione di metallo/fonderia/paese identificato. Questo campo è obbligatorio</t>
  </si>
  <si>
    <t>3. Nome della fonderia (*) -  Inserire il nome della fonderia se avete selezionato " fonderia non presente" nella colonna C. Questo campo verrà popolato automaticamente quando verrà inserito il nome dell fonderia nella colonna C.  Questo campo è obbligatorio.</t>
  </si>
  <si>
    <t xml:space="preserve">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</si>
  <si>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</si>
  <si>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Fonte del numero di identificazone della fonderia - Questa è l'origine del numero di identificazione della fonderia inserito nella colonna F. Se un nome di fonderia è stato selezionato nella colonna C utilizzando la casella a discesa, questo campo si auto popola.</t>
  </si>
  <si>
    <t>10.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</si>
  <si>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Nome del contatto della Fonderia: Inserire l'indirizzo e-mail della persona della fonderia identificata. Esempio: John.Smith@fonderiaXXX.com. Si prega di rivedere le istruzioni relative alla persona di contatto della fonderia prima di completare questo campo.</t>
  </si>
  <si>
    <t>12. Proposta prossimi passi - questa è un'area per commenti che permette all'azienda di specificare i prossimi passi che intende fare per la gestione delle fonderie.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</si>
  <si>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13.  Nome della Miniera(e) - questo campo permette di definire le miniere utilizzate dalla fonderia. Inserire il nome della miniera dal quale è stato estratto il metallo indicato  se conosciuto.  Se il 100% delle matrie prime della fonderia è stato identificato come "riciclato" o "scarto", menzionare se riciclato o scarto nel campo fornito e rispondere SI nella colonna P</t>
  </si>
  <si>
    <t>14. Ubicazione (Paese) Miniera(e) - Questo è un campo di testo libero che permette all'azienda di definire l'ubicazione delle miniere utilizzate dalla fonderia. Nel campo fornito, identificare il paese nel quale la miniera è ubicata. Se lo stato di origine è sconosciuto, inserire SCONOSCIUTO. Se il 100% delle matrie prime della fonderia è stato identificato come "riciclato" o "scarto", menzionare se riciclato o scarto al posto dello Stato di origine. Questo campo è facoltativo.</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</si>
  <si>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</si>
  <si>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</si>
  <si>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</si>
  <si>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</si>
  <si>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</si>
  <si>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</si>
  <si>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</si>
  <si>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</si>
  <si>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</si>
  <si>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</si>
  <si>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</si>
  <si>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</si>
  <si>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</si>
  <si>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</si>
  <si>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</si>
  <si>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</si>
  <si>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</si>
  <si>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</si>
  <si>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</si>
  <si>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</si>
  <si>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</si>
  <si>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</si>
  <si>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</si>
  <si>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</si>
  <si>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</si>
  <si>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</si>
  <si>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Tanaka Electronics(Hong Kong)Pte.Ltd</t>
  </si>
  <si>
    <t>TANAKA Electronics(Malasia) SDN. BHD.</t>
  </si>
  <si>
    <t>Tanaka Electronics（Singapore）Pte.Ltd</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</si>
  <si>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</si>
  <si>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</si>
  <si>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</si>
  <si>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</si>
  <si>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</si>
  <si>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</si>
  <si>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</si>
  <si>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</si>
  <si>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</si>
  <si>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</si>
  <si>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</si>
  <si>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Geiju City Datun Chengfeng Smelter</t>
  </si>
  <si>
    <t>GuangXi China Tin</t>
  </si>
  <si>
    <t>Huichang Shun Tin Kam Industries, Ltd.</t>
  </si>
  <si>
    <t>Ketabang</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</si>
  <si>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</si>
  <si>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</si>
  <si>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</si>
  <si>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</si>
  <si>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</si>
  <si>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</si>
  <si>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</si>
  <si>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</si>
  <si>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</si>
  <si>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</si>
  <si>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</si>
  <si>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</si>
  <si>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</si>
  <si>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</si>
  <si>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</si>
  <si>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</si>
  <si>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</si>
  <si>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</si>
  <si>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SEMPSA Joyería Platería SA</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</si>
  <si>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</si>
  <si>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</si>
  <si>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</si>
  <si>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</si>
  <si>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</si>
  <si>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</si>
  <si>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</si>
  <si>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</si>
  <si>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</si>
  <si>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</si>
  <si>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</si>
  <si>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</si>
  <si>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</si>
  <si>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</si>
  <si>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</si>
  <si>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</si>
  <si>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</si>
  <si>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</si>
  <si>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</si>
  <si>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</si>
  <si>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</si>
  <si>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</si>
  <si>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</si>
  <si>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 xml:space="preserve">Selezionare il perimetro di dichiarazione dell'Azienda. Le opzioni per il perimetro sono: 
A. Perimetro aziendale
B. Prodotto (o lista dei prodotti)
C. Definito dall'utilizzatore/utente campi </t>
  </si>
  <si>
    <t>10.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</si>
  <si>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</si>
  <si>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Proposta de próximos passos - Esta é uma área de comentários, que permite à empresa especificar quais os próximos passos na gestão das fundições. Estas serão as ações que pode tomar com a unidade de fundição se a unidade não estiver listada  na lista de fundições que cumprem com o programa de fundição livre de conflito (CFSP). Exemplo:  Solicitar que a unidade de fundição seja avaliada através do Programa CFSP, removê-la da lista de fornecedores preferenciais, etc.</t>
  </si>
  <si>
    <t>13. Nome da(s) Mina(s)  - Este campo permite à empresa definir as minas em utilização pelas fundições. Por favor fornecer o nome das minas se conhecido. Se 100% da stock de alimentação das fundições tiver origem em material reciclado ou fontes de desperdício, colocar "Reciclado" ou "Desperdício" em vez do nome da mina e responder "Sim" na coluna P.</t>
  </si>
  <si>
    <t>14. Localização(País) da(s) Mina(s)- Este é um texto livre que permite à empresa definir a localização das minas usadas pela fundição. Por favor insira o país de origem da(s) mina(s). Se o país for desconhecido, inserir "Desconhecido". Se 100% das matérias-primas das fundições, tiverem origem em material reciclado ou desperdício, em vez de país, colocar "Material reciclado" ou "Desperdício". Este campo é opcional.</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</si>
  <si>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</si>
  <si>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</si>
  <si>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</si>
  <si>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</si>
  <si>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</si>
  <si>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</si>
  <si>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</si>
  <si>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</si>
  <si>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</si>
  <si>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</si>
  <si>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</si>
  <si>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</si>
  <si>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</si>
  <si>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</si>
  <si>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</si>
  <si>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</si>
  <si>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</si>
  <si>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</si>
  <si>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</si>
  <si>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</si>
  <si>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</si>
  <si>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</si>
  <si>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</si>
  <si>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</si>
  <si>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</si>
  <si>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</si>
  <si>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</si>
  <si>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</si>
  <si>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</si>
  <si>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</si>
  <si>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</si>
  <si>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</si>
  <si>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</si>
  <si>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</si>
  <si>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</si>
  <si>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</si>
  <si>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</si>
  <si>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</si>
  <si>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</si>
  <si>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</si>
  <si>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</si>
  <si>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</si>
  <si>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</si>
  <si>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</si>
  <si>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</si>
  <si>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</si>
  <si>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</si>
  <si>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</si>
  <si>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</si>
  <si>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</si>
  <si>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</si>
  <si>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</si>
  <si>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</si>
  <si>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</si>
  <si>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</si>
  <si>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</si>
  <si>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</si>
  <si>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</si>
  <si>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</si>
  <si>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</si>
  <si>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</si>
  <si>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</si>
  <si>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</si>
  <si>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</si>
  <si>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</si>
  <si>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</si>
  <si>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</si>
  <si>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</si>
  <si>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</si>
  <si>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Seleccione la declaración del alcance de su empresa.  Las opciones para el  alcance son:  
A.- A nivel compañía
B.- Producto ( o Lista de productos) 
C.- Definido por el usuario. </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</si>
  <si>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</si>
  <si>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</si>
  <si>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</si>
  <si>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</si>
  <si>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</si>
  <si>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</si>
  <si>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</si>
  <si>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</si>
  <si>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</si>
  <si>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</si>
  <si>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</si>
  <si>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</si>
  <si>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</si>
  <si>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</si>
  <si>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</si>
  <si>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</si>
  <si>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</si>
  <si>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</si>
  <si>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</si>
  <si>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</si>
  <si>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</si>
  <si>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</si>
  <si>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</si>
  <si>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</si>
  <si>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</si>
  <si>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</si>
  <si>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</si>
  <si>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</si>
  <si>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</si>
  <si>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</si>
  <si>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</si>
  <si>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</si>
  <si>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</si>
  <si>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</si>
  <si>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</si>
  <si>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</si>
  <si>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</si>
  <si>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</si>
  <si>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</si>
  <si>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Non-ferrous Metals Smelting Co., Ltd.</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</si>
  <si>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</si>
  <si>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</si>
  <si>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</si>
  <si>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</si>
  <si>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</si>
  <si>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</si>
  <si>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</si>
  <si>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</si>
  <si>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</si>
  <si>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</si>
  <si>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Este modelo de relatório de minerais de conflito é um modelo padrão de relatório, grátis, criado pela Coligação pela cidadania da indústria eletrónica (Electronic Industry Citizenship® -EICC®) e pela iniciativa Global de e-Sustentabilidade (Global e-Sustainability-GeSI).  Este modelo facilita a transferência de informação através da cadeia de fornecimento no que diz respeito ao país de origem do mineral, e das fundições e refinarias que estão sendo utilizadas e suporta o cumprimento da legislação*.
O modelo também facilita a identificação de novas fundições e refinarias de forma a estas serem potencialmente alvo de auditoria através do programa de Fundições Livres de Conflito**.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</si>
  <si>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</si>
  <si>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</si>
  <si>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</si>
  <si>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</si>
  <si>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</si>
  <si>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</si>
  <si>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</si>
  <si>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</si>
  <si>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</si>
  <si>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</si>
  <si>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</si>
  <si>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</si>
  <si>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</si>
  <si>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</si>
  <si>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</si>
  <si>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</si>
  <si>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</si>
  <si>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</si>
  <si>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</si>
  <si>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</si>
  <si>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</si>
  <si>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</si>
  <si>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</si>
  <si>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</si>
  <si>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</si>
  <si>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</si>
  <si>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</si>
  <si>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</si>
  <si>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</si>
  <si>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</si>
  <si>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</si>
  <si>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</si>
  <si>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</si>
  <si>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</si>
  <si>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</si>
  <si>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</si>
  <si>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</si>
  <si>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</si>
  <si>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</si>
  <si>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</si>
  <si>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</si>
  <si>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</si>
  <si>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</si>
  <si>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</si>
  <si>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</si>
  <si>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</si>
  <si>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</si>
  <si>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</si>
  <si>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</si>
  <si>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</si>
  <si>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</si>
  <si>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</si>
  <si>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</si>
  <si>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</si>
  <si>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</si>
  <si>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5.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</si>
  <si>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Número de Identificação da fonte da Fundição - Este é o número de Identificação da fonte da Fundição preenchido na coluna F. Se o nome de uma fundição for selecionada na coluna C usando a lista do menu, este campo irá replicar-se automaticamente.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</si>
  <si>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</si>
  <si>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</si>
  <si>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</si>
  <si>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</si>
  <si>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</si>
  <si>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</si>
  <si>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</si>
  <si>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</si>
  <si>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3. Nombre del fundidor (*)- Proporcione el nombre del fundidor si seleccionaste " Fundidor no listado" en la columna C. Este campo se llenara automáticamente cuando un nombre de fundidor es seleccionado en la columna C. Este campo es obligatorio.</t>
  </si>
  <si>
    <t>4. País del fundidor (*)- Este campo se llenara automáticamente cuando el nombre del fundidor sea seleccionado en la columna C. Si usted selecciona " Fundidor no listado" en columna C, use el menú de opciones para seleccionar el país del proveedor. Este campo es mandatorio.</t>
  </si>
  <si>
    <t>5.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</si>
  <si>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Fuente del numero de identificación del fundidor - esta es la fuente del numero de identificación del fundidor capturado en el columna F. Si un nombre del fundidor fue seleccionado en la columna C usando el menú de opciones, este campo se llenara automáticamente.</t>
  </si>
  <si>
    <t>10.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</si>
  <si>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</si>
  <si>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Pasos siguientes propuestos - esta es una área de comentarios, la cual permite a la compañía especificar los siguientes pasos en el manejo de fundidores.  Estas son las acciones que usted podrá tomar con el fundidor si la planto no esta listada en la lista de fundidores en cumplimiento dentro del  Programa de fundidores sin conflicto (CFSP). ejemplo: Pedir a la planta del fundidor que sea evaluada a través del CFSP, remover de la lista de proveedores preferida, etc.</t>
  </si>
  <si>
    <t>13. Nombre de la  mina(s) - este campo permite a la compañía definir la  real mina usada por el fundidor. Por favor capture el nombre real de la mina si se conoce. Si el 100% de la materia prima proviene del reciclado o del deshecho, diga "Reciclado" o "Deshecho" en lugar del nombre de la mina y responda "Si" en la columna P.</t>
  </si>
  <si>
    <t>14.- Localización (país) de la mina (s) - Este el un campo de texto libre que permite a la compañía definir la localización de las minas usadas por el fundidor.  Por favor capture el país de las mina(s). Si el país de origen es desconocido ponga "Desconocido".  Si el 100% de la materia prima proviene del reciclado o del deshecho, diga "Reciclado" o "Deshecho" en lugar del país de origen. Este campo es opcional.</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</si>
  <si>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</si>
  <si>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</si>
  <si>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</si>
  <si>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</si>
  <si>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</si>
  <si>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</si>
  <si>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</si>
  <si>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</si>
  <si>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</si>
  <si>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</si>
  <si>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</si>
  <si>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</si>
  <si>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</si>
  <si>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</si>
  <si>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</si>
  <si>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</si>
  <si>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</si>
  <si>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</si>
  <si>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</si>
  <si>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</si>
  <si>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</si>
  <si>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</si>
  <si>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</si>
  <si>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</si>
  <si>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</si>
  <si>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</si>
  <si>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</si>
  <si>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</si>
  <si>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</si>
  <si>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</si>
  <si>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</si>
  <si>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</si>
  <si>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</si>
  <si>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</si>
  <si>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</si>
  <si>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</si>
  <si>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</si>
  <si>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</si>
  <si>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Os campos obrigatórios estão identificados com um asterisco (*). A informação recolhida neste modelo deverá ser atualizada anualmente. Quaisquer alterações que ocorram durante o ciclo anual deverão ser comunicadas aos seus clientes.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</si>
  <si>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</si>
  <si>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</si>
  <si>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</si>
  <si>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</si>
  <si>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</si>
  <si>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</si>
  <si>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</si>
  <si>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</si>
  <si>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</si>
  <si>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</si>
  <si>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</si>
  <si>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</si>
  <si>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</si>
  <si>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</si>
  <si>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</si>
  <si>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</si>
  <si>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</si>
  <si>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</si>
  <si>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</si>
  <si>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</si>
  <si>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</si>
  <si>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</si>
  <si>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</si>
  <si>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</si>
  <si>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</si>
  <si>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</si>
  <si>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</si>
  <si>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</si>
  <si>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</si>
  <si>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</si>
  <si>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</si>
  <si>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</si>
  <si>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</si>
  <si>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</si>
  <si>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</si>
  <si>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</si>
  <si>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</si>
  <si>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</si>
  <si>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</si>
  <si>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</si>
  <si>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</si>
  <si>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</si>
  <si>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</si>
  <si>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</si>
  <si>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</si>
  <si>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</si>
  <si>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</si>
  <si>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</si>
  <si>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</si>
  <si>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</si>
  <si>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</si>
  <si>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</si>
  <si>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</si>
  <si>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</si>
  <si>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</si>
  <si>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</si>
  <si>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</si>
  <si>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</si>
  <si>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</si>
  <si>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</si>
  <si>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</si>
  <si>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</si>
  <si>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</si>
  <si>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</si>
  <si>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</si>
  <si>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</si>
  <si>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Selecionar o âmbito da Declaração da sua Empresa. As opções são:
A. Toda a Empresa
B. Produtos (ou lista de Produtos)
C. Definido pelo Utilizador</t>
  </si>
  <si>
    <t>1. Inserir o nome Legal da Empresa. Por favor, não use abreviações.</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</si>
  <si>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</si>
  <si>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</si>
  <si>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</si>
  <si>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</si>
  <si>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</si>
  <si>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</si>
  <si>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</si>
  <si>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</si>
  <si>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</si>
  <si>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</si>
  <si>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</si>
  <si>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</si>
  <si>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</si>
  <si>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</si>
  <si>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</si>
  <si>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</si>
  <si>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</si>
  <si>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</si>
  <si>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</si>
  <si>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</si>
  <si>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</si>
  <si>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</si>
  <si>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</si>
  <si>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</si>
  <si>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</si>
  <si>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</si>
  <si>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</si>
  <si>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</si>
  <si>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</si>
  <si>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</si>
  <si>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</si>
  <si>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</si>
  <si>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</si>
  <si>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</si>
  <si>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</si>
  <si>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</si>
  <si>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</si>
  <si>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</si>
  <si>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</si>
  <si>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</si>
  <si>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</si>
  <si>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</si>
  <si>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</si>
  <si>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</si>
  <si>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</si>
  <si>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</si>
  <si>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</si>
  <si>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</si>
  <si>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</si>
  <si>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</si>
  <si>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</si>
  <si>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</si>
  <si>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</si>
  <si>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</si>
  <si>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</si>
  <si>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</si>
  <si>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</si>
  <si>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</si>
  <si>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</si>
  <si>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</si>
  <si>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</si>
  <si>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</si>
  <si>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</si>
  <si>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</si>
  <si>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</si>
  <si>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</si>
  <si>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</si>
  <si>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</si>
  <si>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</si>
  <si>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</si>
  <si>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</si>
  <si>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</si>
  <si>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</si>
  <si>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1. Metal (*) - Utilize a lista do menu para selecionar o metal para o qual está a inserir a informação sobre a fundição. 
Este campo é obrigatório</t>
  </si>
  <si>
    <t>3. Nome da Fundição (*) - Preencher o nome da fundição se selecionou "Fundição não listada" na coluna C. Este campo irá replicar-se automaticamente quando o nome de uma fundição for selecionado na coluna C. Este campo é obrigatório.</t>
  </si>
  <si>
    <t>4. País da Fundição (*) - Este campo irá replicar-se automaticamente quando o nome de uma fundição for selecionada na coluna C. Se selecionar "Fundição não listada" na coluna C, use a lista do menu para selecionar o país de origem da fundição. Este campo é obrigatório.</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</si>
  <si>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</si>
  <si>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</si>
  <si>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</si>
  <si>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</si>
  <si>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</si>
  <si>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</si>
  <si>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</si>
  <si>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</si>
  <si>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</si>
  <si>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</si>
  <si>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</si>
  <si>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</si>
  <si>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</si>
  <si>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</si>
  <si>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</si>
  <si>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</si>
  <si>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</si>
  <si>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</si>
  <si>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 xml:space="preserve">Select your company's Declaration Scope.  The options for scope are:
A.  Company-wide
B.  Product (or List of Products)
C.  User-Defined
</t>
  </si>
  <si>
    <t xml:space="preserve">选择贵公司的申报范围。申报范围层面选项:
A.全公司
B. 产品 （或产品清单）
C. 自定义
</t>
  </si>
  <si>
    <t xml:space="preserve">御社の申告範囲を選択してください。範囲の選択肢は以下のとおりです。
A. Company-wide: 全社
B. Product (or List of Products): 製品（または製品リスト）
C. User Defined: (ユーザー定義)
</t>
  </si>
  <si>
    <t xml:space="preserve">귀사 문서의 선언 범위를 선택하시오. 선언범위의 선택사항은 아래와 같읍니다. 
A. 전사
B. 제품 (또는 제품의 목록)
C. 사용자 정의
</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</si>
  <si>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</si>
  <si>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</si>
  <si>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</si>
  <si>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</si>
  <si>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</si>
  <si>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</si>
  <si>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</si>
  <si>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</si>
  <si>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</si>
  <si>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</si>
  <si>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</si>
  <si>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</si>
  <si>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</si>
  <si>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</si>
  <si>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</si>
  <si>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</si>
  <si>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</si>
  <si>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</si>
  <si>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</si>
  <si>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</si>
  <si>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</si>
  <si>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</si>
  <si>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</si>
  <si>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</si>
  <si>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</si>
  <si>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</si>
  <si>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</si>
  <si>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</si>
  <si>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6.製錬業者識別番号の発行元　－　これはF列に入力された製錬業者識別番号の発行元です。ドロップダウンボックスを使ってC列に製錬業者名を選択すると、この欄は自動入力されます。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</si>
  <si>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</si>
  <si>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</si>
  <si>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</si>
  <si>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</si>
  <si>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</si>
  <si>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</si>
  <si>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</si>
  <si>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</si>
  <si>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</si>
  <si>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</si>
  <si>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</si>
  <si>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</si>
  <si>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</si>
  <si>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</si>
  <si>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</si>
  <si>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</si>
  <si>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</si>
  <si>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</si>
  <si>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</si>
  <si>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xml:space="preserve">Ce formulaire de rapport sur les minerais issus de zones de conflit (formulaire) est un modèle de rapport gratuit, et normalisé créé par l’Electronic Industry Citizenship Coalition® (EICC®) et le Global e-Sustainability Initiative (GeSI). Ce formulaire facilite l'échange d'informations sur le pays d'origine et les fondeurs et affineurs des minerais dans la chaîne d'approvisionnement, et est conforme à la législation*. Ce formulaire facilite également l'identification de nouveaux fondeurs et affineurs qui pourraient faire l'objet d'un audit par le Programme CFS **.
</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</si>
  <si>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</si>
  <si>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</si>
  <si>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1. Merci d’inscrire ici l'entité légale de votre entreprise. Merci de ne pas utiliser d'abréviations.</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</si>
  <si>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</si>
  <si>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</si>
  <si>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</si>
  <si>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</si>
  <si>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</si>
  <si>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</si>
  <si>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</si>
  <si>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</si>
  <si>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</si>
  <si>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</si>
  <si>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</si>
  <si>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</si>
  <si>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</si>
  <si>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</si>
  <si>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</si>
  <si>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</si>
  <si>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</si>
  <si>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</si>
  <si>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</si>
  <si>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</si>
  <si>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</si>
  <si>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</si>
  <si>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</si>
  <si>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</si>
  <si>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</si>
  <si>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</si>
  <si>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Campos obligatorios están señalados con asterisco (*), la información colectada en este templete debe ser actualizada anualmente, cualquier cambio en el ciclo anual debe ser proveída a los clientes.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</si>
  <si>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</si>
  <si>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</si>
  <si>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</si>
  <si>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</si>
  <si>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</si>
  <si>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</si>
  <si>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</si>
  <si>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</si>
  <si>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</si>
  <si>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</si>
  <si>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</si>
  <si>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</si>
  <si>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</si>
  <si>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</si>
  <si>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</si>
  <si>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</si>
  <si>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</si>
  <si>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</si>
  <si>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</si>
  <si>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</si>
  <si>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</si>
  <si>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</si>
  <si>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</si>
  <si>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</si>
  <si>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</si>
  <si>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</si>
  <si>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</si>
  <si>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</si>
  <si>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</si>
  <si>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</si>
  <si>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</si>
  <si>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</si>
  <si>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</si>
  <si>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</si>
  <si>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</si>
  <si>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</si>
  <si>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</si>
  <si>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</si>
  <si>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</si>
  <si>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</si>
  <si>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</si>
  <si>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</si>
  <si>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</si>
  <si>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</si>
  <si>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</si>
  <si>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</si>
  <si>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</si>
  <si>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</si>
  <si>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</si>
  <si>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</si>
  <si>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</si>
  <si>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</si>
  <si>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</si>
  <si>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</si>
  <si>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</si>
  <si>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</si>
  <si>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</si>
  <si>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</si>
  <si>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</si>
  <si>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</si>
  <si>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</si>
  <si>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</si>
  <si>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</si>
  <si>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</si>
  <si>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</si>
  <si>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</si>
  <si>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</si>
  <si>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</si>
  <si>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</si>
  <si>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</si>
  <si>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</si>
  <si>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</si>
  <si>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</si>
  <si>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</si>
  <si>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</si>
  <si>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</si>
  <si>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</si>
  <si>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</si>
  <si>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</si>
  <si>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분쟁광물 사용보고 템플릿 (CMRT)은 EICC(전자산업 시민연대, Electronic Industry Citizenship Coalition)와 GeSI(글로벌 e-지속가능 이니셔티브, Global e-Sustainability Initiative)가 공동 제작한 무료 표준양식 입니다. CMRT는 광물의 원산국과 제련소 및 정제소가 사용되는 것에 대한 공급과정을 통한 정보의 이전을 가능하게 하며 법률*을 준수를 하도록 도와줍니다.  또한 CMRT는 CFSP**를 통해 잠재적으로 감사 받을 새로운 제련소와 정제소의 식별을 가능하게 합니다.  </t>
  </si>
  <si>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</si>
  <si>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</si>
  <si>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</si>
  <si>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</si>
  <si>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</si>
  <si>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</si>
  <si>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</si>
  <si>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</si>
  <si>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</si>
  <si>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</si>
  <si>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</si>
  <si>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</si>
  <si>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</si>
  <si>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</si>
  <si>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</si>
  <si>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</si>
  <si>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</si>
  <si>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 금속(*) - 드랍다운 메뉴를 이용하여 제련소 정보를 입력하려는 금속을 선택하시오.  이 필드는 필수입니다.</t>
  </si>
  <si>
    <t>3. 표준 제련소 이름 (*) - 'C'열에 '나열되지 제련소'를 선택한 경우, 제련소 이름을 기입하시오.  'C'열에 제련소 이름을 선택한 경우에는 이필드가 자동으로 채워집니다.  이 필드는 필수입니다.</t>
    <phoneticPr fontId="8" type="noConversion"/>
  </si>
  <si>
    <t>4. 제련소 국가 (*) - 'C'열에 제련소 이름을 선택한 경우에는 이필드가 자동으로 채워집니다.  'C'열에 '나열되지 제련소'를 선택한 경우,  제련소 국가 위치를 풀다운 메뉴에서 선택하십시오.  이 필드는 필수입니다.</t>
  </si>
  <si>
    <t>5.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</si>
  <si>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제련소 식별 번호의 출처 - 이것은 F열에 들어간 제련소 식별 번호의 출처입니다. 제련소 이름이 드랍다운 박스를 사용하여 Column C에서 선택되면, 이 열은 자동으로 덧붙여 집니다.</t>
  </si>
  <si>
    <t xml:space="preserve">10.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</si>
  <si>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12. 제안된 다음 단계 - 이는 주석 부분이며, 귀사가 제련소 관리를 위한 다음 단계를 명시할수 있도록 합니다.   이는 귀사가 시설이, CFSI CFSP 준수된 제련소 목록에 없을 경우, 제련소와 취할 과정들이다. 예: 제련소 시설을 CFSP를 통해 평가 되도록 요구, 선호되는 공급자 목록에서 제거 등.</t>
  </si>
  <si>
    <t>13. 광산 이름 - 이 영역은 회사가 제련소에 실제로 사용하는 광산을 정의하도록 합니다. 이름을 알면 실제 광산의 이름을 넣으시오. 만일 제련소의 원료의 100%가 재활용 또는 폐품에서 왔다면, 광산의 이름에 "Recycled" 또는 "Scrap"을 광산의 이름에 넣고 Column P에 "Yes"로 답하시오.</t>
  </si>
  <si>
    <t xml:space="preserve">14. 광산의 위치 (국가) - 이는 자유 양식의 텍스트 필드 영역으로 회사가 제련소의  실제로 사용하는 광산의 위치를 정의할수 있도록 합니다. 광산이 위치한 국가를 넣으시오. 만일 국가의 이름을 모르면 "Unknown"을 넣으시오. 만일 제련소의 원료의 100%가 재활용 또는 폐품에서 왔다면, 광산의 이름에 "Recycled" 또는 "Scrap"을 광산국에 넣으시오. 이 영역은 선택사항입니다. </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</si>
  <si>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</si>
  <si>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</si>
  <si>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</si>
  <si>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</si>
  <si>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</si>
  <si>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</si>
  <si>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</si>
  <si>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</si>
  <si>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</si>
  <si>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</si>
  <si>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</si>
  <si>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</si>
  <si>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</si>
  <si>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</si>
  <si>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</si>
  <si>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</si>
  <si>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</si>
  <si>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</si>
  <si>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</si>
  <si>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</si>
  <si>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</si>
  <si>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</si>
  <si>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</si>
  <si>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</si>
  <si>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Les champs obligatoires sont annotés d'une astérisque (*). Les informations collectées dans ce formulaire doivent être actualisées chaque année. Tout changement durant l'année en cours devrait être fourni à vos clients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</si>
  <si>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</si>
  <si>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</si>
  <si>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</si>
  <si>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</si>
  <si>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</si>
  <si>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</si>
  <si>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</si>
  <si>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</si>
  <si>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</si>
  <si>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</si>
  <si>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</si>
  <si>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</si>
  <si>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</si>
  <si>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</si>
  <si>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</si>
  <si>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</si>
  <si>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</si>
  <si>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</si>
  <si>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</si>
  <si>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</si>
  <si>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</si>
  <si>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</si>
  <si>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</si>
  <si>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</si>
  <si>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</si>
  <si>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</si>
  <si>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</si>
  <si>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</si>
  <si>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</si>
  <si>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</si>
  <si>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</si>
  <si>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</si>
  <si>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</si>
  <si>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</si>
  <si>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</si>
  <si>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</si>
  <si>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</si>
  <si>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</si>
  <si>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</si>
  <si>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Sélectionner le périmètre de Déclaration de votre entreprise. Les choix possibles sont :
A. Pour toute l'entreprise
B. Produit ( ou liste de produits)
C Défini par l'utilisateur</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</si>
  <si>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</si>
  <si>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</si>
  <si>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</si>
  <si>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</si>
  <si>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</si>
  <si>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</si>
  <si>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</si>
  <si>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</si>
  <si>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</si>
  <si>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Este formato  de reporte de minerales en conflicto (el templete), es gratis, estandarizado fue creado por la coalición ciudadana de la industria electrónica (EICC por sus siglas en Ingles) y la iniciativa global de e-sustentabilidad (GeSi por sus siglas en Ingles) El templete facilita la transferencia de la información a través de la cadena de suministro  en relación  al país de origen del mineral, fundidores y refinadores utilizados y apoya el cumplimiento a la legislación*. El templete también facilita la identificación de nuevos fundidores y refinadores que podrían potencialmente tener una auditoria vía el programa de fundidores sin conflicto.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</si>
  <si>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</si>
  <si>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</si>
  <si>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</si>
  <si>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1.  Inserte el nombre legal de su compañía. Por favor no use abreviaciones</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</si>
  <si>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</si>
  <si>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</si>
  <si>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</si>
  <si>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</si>
  <si>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</si>
  <si>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</si>
  <si>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</si>
  <si>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</si>
  <si>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</si>
  <si>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</si>
  <si>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</si>
  <si>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</si>
  <si>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</si>
  <si>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</si>
  <si>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</si>
  <si>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</si>
  <si>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</si>
  <si>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</si>
  <si>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</si>
  <si>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</si>
  <si>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</si>
  <si>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</si>
  <si>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</si>
  <si>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</si>
  <si>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</si>
  <si>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</si>
  <si>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</si>
  <si>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</si>
  <si>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</si>
  <si>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</si>
  <si>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</si>
  <si>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</si>
  <si>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</si>
  <si>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</si>
  <si>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</si>
  <si>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</si>
  <si>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</si>
  <si>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</si>
  <si>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</si>
  <si>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</si>
  <si>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否，但超过75%</t>
    <phoneticPr fontId="5" type="noConversion"/>
  </si>
  <si>
    <t>否，但超过50%</t>
    <phoneticPr fontId="5" type="noConversion"/>
  </si>
  <si>
    <t>否，但超过25%</t>
    <phoneticPr fontId="5" type="noConversion"/>
  </si>
  <si>
    <t>否，但少于25%</t>
    <phoneticPr fontId="5" type="noConversion"/>
  </si>
  <si>
    <t>完全没有</t>
    <phoneticPr fontId="5" type="noConversion"/>
  </si>
  <si>
    <t>原用冶炼厂识别信息</t>
    <phoneticPr fontId="5" type="noConversion"/>
  </si>
  <si>
    <t>新用冶炼厂识别信息</t>
    <phoneticPr fontId="5" type="noConversion"/>
  </si>
  <si>
    <t xml:space="preserve">金属  </t>
    <phoneticPr fontId="5" type="noConversion"/>
  </si>
  <si>
    <t>冶炼厂标准名称</t>
    <phoneticPr fontId="5" type="noConversion"/>
  </si>
  <si>
    <t>所用的别名</t>
    <phoneticPr fontId="5" type="noConversion"/>
  </si>
  <si>
    <t>冶炼厂冶炼设施所在地（国家）</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</si>
  <si>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</si>
  <si>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</si>
  <si>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</si>
  <si>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</si>
  <si>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</si>
  <si>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</si>
  <si>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注释</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</si>
  <si>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</si>
  <si>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</si>
  <si>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</si>
  <si>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CFSI website: (www.conflictfreesourcing.org)
Training and guidance, template, Conflict-Free Smelter Program compliant smelter list</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</si>
  <si>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</si>
  <si>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</si>
  <si>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</si>
  <si>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</si>
  <si>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</si>
  <si>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</si>
  <si>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</si>
  <si>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</si>
  <si>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</si>
  <si>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</si>
  <si>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1. Insert your company's Legal Name.  Please do not use abbreviations</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</si>
  <si>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</si>
  <si>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</si>
  <si>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</si>
  <si>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</si>
  <si>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</si>
  <si>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</si>
  <si>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</si>
  <si>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</si>
  <si>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</si>
  <si>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</si>
  <si>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</si>
  <si>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</si>
  <si>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</si>
  <si>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C. Please answer “Yes” or “No”.  Provide any comments if necessary.  See Definitions worksheet for definition of "DRC conflict -free".</t>
  </si>
  <si>
    <t>B. Please answer “Yes” or “No” If “Yes”, provide the web link in the comments section.</t>
  </si>
  <si>
    <t xml:space="preserve">A. Please answer “Yes” or “No”.  Provide any comments, if necessary. </t>
  </si>
  <si>
    <t>1. Metal (*)   -   Use the pull down menu to select the metal for which you are entering smelter information.  This field is mandatory.</t>
  </si>
  <si>
    <t>3. Smelter Name (*)- Fill in smelter name if you selected "Smelter Not Listed" in column C.  This field will auto-populate when a smelter name in selected in Column C.  This field is mandatory.</t>
  </si>
  <si>
    <t>4. Smelter Country (*) – This field will auto-populate when a smelter name is selected in column C. If you selected "Smelter Not Listed" in column C, use the pull down menu to select the country location of the smelter.  This field is mandatory.</t>
  </si>
  <si>
    <t>A57</t>
  </si>
  <si>
    <t>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</si>
  <si>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</si>
  <si>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</si>
  <si>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</si>
  <si>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</si>
  <si>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</si>
  <si>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</si>
  <si>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</si>
  <si>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</si>
  <si>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</si>
  <si>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</si>
  <si>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</si>
  <si>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</si>
  <si>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</si>
  <si>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</si>
  <si>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</si>
  <si>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</si>
  <si>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</si>
  <si>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</si>
  <si>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</si>
  <si>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 Métal (*) – Utiliser la liste déroulante pour sélectionner le métal pour lequel vous entrez l’information. Ce champ est obligatoire.</t>
  </si>
  <si>
    <t xml:space="preserve">
3. Nom de la fonderie (*) - Saisissez le nom de la fonderie si vous avez sélectionné 'fonderie non répertoriée' dans la colonne C. Ce champ est automatiquement renseigné lorsqu'un nom de fonderie est sélectionné dans la colonne C. Ce champ est obligatoire.</t>
  </si>
  <si>
    <t>4.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</si>
  <si>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</si>
  <si>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Type de l'identifiant de la fonderie - C'est la source du numéro d'identification de la fonderie identifiée dans la colonne F. Si un nom de fonderie a été sélectionné dans la colonne C en utilisant la liste déroulante, ce champ est automatiquement renseigné.</t>
  </si>
  <si>
    <t>10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</si>
  <si>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Adresse Email du contact de la fonderie- Indiquez l'adresse email du contact que vous avez identifié pour la fonderie . Exemple: John.Smith@SmelterXXX.com. Merci de lire les instructions sur le nom du contact de la fonderie avant de remplir ce champ.</t>
  </si>
  <si>
    <t>12. Prochaines actions identifiées - Il s'agit d'une zone de commentaires qui permet à l'entreprise de lister les actions identifiées afin de gérer la fonderie. Ce sont les actions que vous pouvez prendre si la fonderie n'est pas répertorié dans la liste des fonderies identifiées par le CFSI conflict free smelter program (CFSP). Exemple: demander à la fonderie de se farie auditer par le CFSP, la retirer de la liste des fournisseurs privilégiés, etc.</t>
  </si>
  <si>
    <t>13. Nom de la mine (s) - Ce champ permet à une entreprise de définir les mines réellement utilisées par la fonderie. Merci d'indiquer les noms des mines lorsqu'elles sont connues. Si 100% des produits utilisés par la fonderie viennent de fournisseurs de produits recyclés, rebuts de production ou déchets de consommation, mentionner "Recycled" ou "Scrap" à la place du nom de la mine et répondre "Yes" dans la colonne "P".</t>
  </si>
  <si>
    <t>14. Localisation (Pays) de la mine  - Il s'agit d'un champ de texte libre qui permet à une entreprise d'indiquer l'emplacement des mines utilisées par la fonderie. Merci d'indiquer le pays de la mine. Si le pays d'origine n'est pas connu, inscrire "Unknown". Si 100% des produits utilisés par la fonderie proviennent de fournisseurs de produits recyclés, rebuts de production ou déchets de consommation, Indiquez "Recycled" ou "Scrap" à la place du pays de la mine. Ce champ est facultatif.</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</si>
  <si>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</si>
  <si>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11. 製錬業者連絡先電子メール　－　上記製錬施設連絡先担当者のメールアドレスを記入してください。
例：John.Smith@SmelterXXX.com 　この欄を記入する前に、「製錬業者連絡先担当者名」の説明を確認してください。</t>
  </si>
  <si>
    <t>12. 今後の対策案　－　 これは企業に、製錬業者の管理に関する今後の対策案の記入を可能にするコメント欄です。対策案は、CFSIコンフリクトフリー製錬業者プログラム(CFSP)適合製錬業者リストに掲載されていない製錬施設に対して御社がとる措置のことです。 例：製錬施設にCFSプログラムによる監査を受けるよう要請する、推奨サプライヤーのリストから削除する等。</t>
  </si>
  <si>
    <t>13. 鉱山名　－　 この欄で、企業は、製錬業者が使用した実際の鉱山を明確にできます。判明している場合には、実際の鉱山名を記入してください。製錬業者の原材料の100％がリサイクル業者又はスクラップサプライヤーから調達された場合は、この欄に 「再生利用品」又は「スクラップ」と記入してください。そして、P列に「はい」と記入してください。</t>
  </si>
  <si>
    <t>14.  鉱山の所在地（国）　－　 これは自由形式のテキスト欄で、企業は製錬業者が使用した鉱山の所在地を明確にできます。鉱山の所在国が不明な場合は「Unknown（不明）」と記入してください。製錬業者の原材料が100％リサイクル業者又はスクラップサプライヤーから調達された場合は「Recycled（再生利用品）」 又は「Scrap（スクラップ）」と記入してください。この質問は任意です。</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</si>
  <si>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</si>
  <si>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</si>
  <si>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</si>
  <si>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</si>
  <si>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</si>
  <si>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</si>
  <si>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</si>
  <si>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</si>
  <si>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</si>
  <si>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</si>
  <si>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</si>
  <si>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</si>
  <si>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</si>
  <si>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</si>
  <si>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</si>
  <si>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</si>
  <si>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</si>
  <si>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</si>
  <si>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</si>
  <si>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</si>
  <si>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</si>
  <si>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</si>
  <si>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</si>
  <si>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</si>
  <si>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</si>
  <si>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</si>
  <si>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</si>
  <si>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</si>
  <si>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</si>
  <si>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</si>
  <si>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</si>
  <si>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</si>
  <si>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</si>
  <si>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</si>
  <si>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</si>
  <si>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</si>
  <si>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</si>
  <si>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</si>
  <si>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</si>
  <si>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</si>
  <si>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</si>
  <si>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</si>
  <si>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</si>
  <si>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</si>
  <si>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</si>
  <si>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</si>
  <si>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</si>
  <si>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</si>
  <si>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</si>
  <si>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</si>
  <si>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</si>
  <si>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</si>
  <si>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</si>
  <si>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</si>
  <si>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</si>
  <si>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</si>
  <si>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</si>
  <si>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</si>
  <si>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</si>
  <si>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</si>
  <si>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</si>
  <si>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</si>
  <si>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</si>
  <si>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</si>
  <si>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</si>
  <si>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</si>
  <si>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</si>
  <si>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</si>
  <si>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</si>
  <si>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</si>
  <si>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</si>
  <si>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</si>
  <si>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</si>
  <si>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</si>
  <si>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</si>
  <si>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</si>
  <si>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</si>
  <si>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</si>
  <si>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</si>
  <si>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</si>
  <si>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</si>
  <si>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</si>
  <si>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</si>
  <si>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</si>
  <si>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</si>
  <si>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</si>
  <si>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</si>
  <si>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</si>
  <si>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</si>
  <si>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</si>
  <si>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</si>
  <si>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</si>
  <si>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</si>
  <si>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</si>
  <si>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</si>
  <si>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</si>
  <si>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</si>
  <si>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</si>
  <si>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</si>
  <si>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</si>
  <si>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</si>
  <si>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</si>
  <si>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</si>
  <si>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</si>
  <si>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</si>
  <si>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</si>
  <si>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</si>
  <si>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</si>
  <si>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</si>
  <si>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</si>
  <si>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</si>
  <si>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31"/>
  </si>
  <si>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</si>
  <si>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</si>
  <si>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</si>
  <si>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</si>
  <si>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</si>
  <si>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</si>
  <si>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</si>
  <si>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</si>
  <si>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</si>
  <si>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</si>
  <si>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</si>
  <si>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</si>
  <si>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</si>
  <si>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</si>
  <si>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</si>
  <si>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</si>
  <si>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</si>
  <si>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31"/>
  </si>
  <si>
    <t>necessary?</t>
    <phoneticPr fontId="31"/>
  </si>
  <si>
    <t>incomplete</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</si>
  <si>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</si>
  <si>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</si>
  <si>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</si>
  <si>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</si>
  <si>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</si>
  <si>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</si>
  <si>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</si>
  <si>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</si>
  <si>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</si>
  <si>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</si>
  <si>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</si>
  <si>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 xml:space="preserve">     Note:  Entries with (*) are mandatory fields. </t>
  </si>
  <si>
    <t>Remarque : les astérisques (*) marquent des champs obligatoires</t>
  </si>
  <si>
    <t>Novosibirsk Integrated Tin Works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</si>
  <si>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</si>
  <si>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</si>
  <si>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</si>
  <si>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</si>
  <si>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</si>
  <si>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</si>
  <si>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</si>
  <si>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</si>
  <si>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</si>
  <si>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</si>
  <si>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</si>
  <si>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</si>
  <si>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</si>
  <si>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</si>
  <si>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</si>
  <si>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</si>
  <si>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</si>
  <si>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</si>
  <si>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</si>
  <si>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</si>
  <si>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</si>
  <si>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</si>
  <si>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</si>
  <si>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</si>
  <si>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</si>
  <si>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</si>
  <si>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</si>
  <si>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</si>
  <si>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</si>
  <si>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</si>
  <si>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</si>
  <si>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</si>
  <si>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</si>
  <si>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</si>
  <si>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</si>
  <si>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</si>
  <si>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</si>
  <si>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</si>
  <si>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</si>
  <si>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</si>
  <si>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</si>
  <si>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</si>
  <si>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</si>
  <si>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</si>
  <si>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</si>
  <si>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</si>
  <si>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</si>
  <si>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</si>
  <si>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</si>
  <si>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</si>
  <si>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</si>
  <si>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</si>
  <si>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</si>
  <si>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</si>
  <si>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</si>
  <si>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11.  제련소 담당자 이메일 - 귀사에 공급하는 제련소 담당자의 이메일 주소를 기입하시오.  예: John.Smith@SmelterXXX.com.  이 필드를 완료하기 전에 제련소 담당자 이름에 대한 설명을 읽어보십시요.</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</si>
  <si>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</si>
  <si>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</si>
  <si>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</si>
  <si>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</si>
  <si>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</si>
  <si>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</si>
  <si>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1. 输入贵公司的法定名称。请不要使用缩写。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</si>
  <si>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</si>
  <si>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</si>
  <si>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</si>
  <si>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</si>
  <si>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</si>
  <si>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</si>
  <si>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</si>
  <si>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</si>
  <si>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</si>
  <si>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</si>
  <si>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</si>
  <si>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</si>
  <si>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</si>
  <si>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</si>
  <si>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</si>
  <si>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</si>
  <si>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</si>
  <si>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</si>
  <si>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</si>
  <si>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</si>
  <si>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</si>
  <si>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</si>
  <si>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5. 冶炼厂识别 - 依据冶炼厂和精炼厂识别系统每一冶炼厂或精炼厂均有一独一无二的标识。 相信会有一间冶炼厂或一间精炼厂存在多个名称的情况出现。 因此，唯一的冶炼厂标识能将其它名称和别名进行统一。 </t>
    <phoneticPr fontId="5" type="noConversion"/>
  </si>
  <si>
    <t xml:space="preserve">6. 冶炼厂识别号码 - F列包括所有的冶炼厂识别号码。 如果在C列中选出冶炼厂名称，此栏会自动填入。 </t>
  </si>
  <si>
    <t xml:space="preserve">11. 冶炼厂联系电邮地址 - 填入被确认为冶炼厂联系人的电邮地址作为冶炼厂联系信息。 例如： John.Smith@SmelterXXX.com。         请在填写此栏前阅读冶炼厂联系名称指引。 </t>
    <phoneticPr fontId="5" type="noConversion"/>
  </si>
  <si>
    <t>12. 下一步计划 - 此栏为注释栏，允许申报人细说下一步如何管理冶炼厂。 如果所使用的冶炼厂不在不使用冲突矿产冶炼计划（CFSP)中合格的冶炼厂名单时，申报人可能会采取改善行动使之达标。                                               例：要求冶炼厂参加不使用冲突矿产冶炼计划（CFSP)、将冶炼厂从首选合作名单中删除，等等 。</t>
  </si>
  <si>
    <t xml:space="preserve">13. 矿场名称 - 这一填空栏允许申报人自行描述冶炼厂实际使用的矿场。 如知其实际名称请输入。 如冶炼厂所用炼料均100%为回收料和报废料，请输入“回收”或“报废”，并在P列填入“是（Yes)”。 </t>
    <phoneticPr fontId="5" type="noConversion"/>
  </si>
  <si>
    <t>14. 矿场的位置（国家） - 这一填空栏允许申报人自行描述冶炼厂所正在使用的矿场。 请输入矿场所在国家的名称。 如不清楚矿场所在的国家，请输入“不知道”。 如冶炼厂所用炼料均100%为回收料和报废料，请输入“回收”或“报废”。  此栏自由选择填写。</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</si>
  <si>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</si>
  <si>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16. 注释 - 用自由的格式的文字栏来输入任何有关冶炼厂的意见。例如：冶炼厂正在被YYY公司收购</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</si>
  <si>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</si>
  <si>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</si>
  <si>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</si>
  <si>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</si>
  <si>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</si>
  <si>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</si>
  <si>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</si>
  <si>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</si>
  <si>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</si>
  <si>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</si>
  <si>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</si>
  <si>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</si>
  <si>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</si>
  <si>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</si>
  <si>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</si>
  <si>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</si>
  <si>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</si>
  <si>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</si>
  <si>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</si>
  <si>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</si>
  <si>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</si>
  <si>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</si>
  <si>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</si>
  <si>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</si>
  <si>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</si>
  <si>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</si>
  <si>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</si>
  <si>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</si>
  <si>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</si>
  <si>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</si>
  <si>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</si>
  <si>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</si>
  <si>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</si>
  <si>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</si>
  <si>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</si>
  <si>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</si>
  <si>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</si>
  <si>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</si>
  <si>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</si>
  <si>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</si>
  <si>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</si>
  <si>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</si>
  <si>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</si>
  <si>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</si>
  <si>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</si>
  <si>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</si>
  <si>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</si>
  <si>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</si>
  <si>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</si>
  <si>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</si>
  <si>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</si>
  <si>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</si>
  <si>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</si>
  <si>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</si>
  <si>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</si>
  <si>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</si>
  <si>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</si>
  <si>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</si>
  <si>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</si>
  <si>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</si>
  <si>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</si>
  <si>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</si>
  <si>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</si>
  <si>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</si>
  <si>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</si>
  <si>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</si>
  <si>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</si>
  <si>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</si>
  <si>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</si>
  <si>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</si>
  <si>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</si>
  <si>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</si>
  <si>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</si>
  <si>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</si>
  <si>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</si>
  <si>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</si>
  <si>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</si>
  <si>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</si>
  <si>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</si>
  <si>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</si>
  <si>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</si>
  <si>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</si>
  <si>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</si>
  <si>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</si>
  <si>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</si>
  <si>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</si>
  <si>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</si>
  <si>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</si>
  <si>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</si>
  <si>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</si>
  <si>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</si>
  <si>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</si>
  <si>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</si>
  <si>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</si>
  <si>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</si>
  <si>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</si>
  <si>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</si>
  <si>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</si>
  <si>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</si>
  <si>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</si>
  <si>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</si>
  <si>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</si>
  <si>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Linwu Xianggui Smelter Co</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</si>
  <si>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</si>
  <si>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</si>
  <si>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</si>
  <si>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</si>
  <si>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</si>
  <si>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</si>
  <si>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</si>
  <si>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</si>
  <si>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</si>
  <si>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</si>
  <si>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</si>
  <si>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</si>
  <si>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</si>
  <si>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</si>
  <si>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</si>
  <si>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</si>
  <si>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</si>
  <si>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</si>
  <si>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</si>
  <si>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</si>
  <si>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</si>
  <si>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</si>
  <si>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</si>
  <si>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</si>
  <si>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Bangka Putra Karya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</si>
  <si>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</si>
  <si>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</si>
  <si>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</si>
  <si>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</si>
  <si>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</si>
  <si>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</si>
  <si>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</si>
  <si>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</si>
  <si>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</si>
  <si>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</si>
  <si>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</si>
  <si>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</si>
  <si>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</si>
  <si>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</si>
  <si>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</si>
  <si>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</si>
  <si>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</si>
  <si>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</si>
  <si>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</si>
  <si>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</si>
  <si>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</si>
  <si>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 xml:space="preserve">6. Source of Smelter Identification Number - This is the source of the Smelter Identification Number entered in Column F.  If a smelter name was selected in Column C using the dropdown box, this field will auto-populate. </t>
  </si>
  <si>
    <t>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</si>
  <si>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Smelter Contact Email – Fill in the email address of the Smelter Facility contact person who was identified as the Smelter Contact Name.  Example: John.Smith@SmelterXXX.com.  Please review the instructions for Smelter Contact Name before completing this field.</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</si>
  <si>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</si>
  <si>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</si>
  <si>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</si>
  <si>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</si>
  <si>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</si>
  <si>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</si>
  <si>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</si>
  <si>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</si>
  <si>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</si>
  <si>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</si>
  <si>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</si>
  <si>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</si>
  <si>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</si>
  <si>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</si>
  <si>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</si>
  <si>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</si>
  <si>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</si>
  <si>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</si>
  <si>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</si>
  <si>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</si>
  <si>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</si>
  <si>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</si>
  <si>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</si>
  <si>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</si>
  <si>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</si>
  <si>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</si>
  <si>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</si>
  <si>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</si>
  <si>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</si>
  <si>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</si>
  <si>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</si>
  <si>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</si>
  <si>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</si>
  <si>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Bauer Walser AG</t>
  </si>
  <si>
    <t>CID000141</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</si>
  <si>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</si>
  <si>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</si>
  <si>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</si>
  <si>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</si>
  <si>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</si>
  <si>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</si>
  <si>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</si>
  <si>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</si>
  <si>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</si>
  <si>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</si>
  <si>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</si>
  <si>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</si>
  <si>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</si>
  <si>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</si>
  <si>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</si>
  <si>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</si>
  <si>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</si>
  <si>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</si>
  <si>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</si>
  <si>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</si>
  <si>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</si>
  <si>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</si>
  <si>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</si>
  <si>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</si>
  <si>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</si>
  <si>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</si>
  <si>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</si>
  <si>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</si>
  <si>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</si>
  <si>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</si>
  <si>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</si>
  <si>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</si>
  <si>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</si>
  <si>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</si>
  <si>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</si>
  <si>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</si>
  <si>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</si>
  <si>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</si>
  <si>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CID000988</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</si>
  <si>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</si>
  <si>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</si>
  <si>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</si>
  <si>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</si>
  <si>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</si>
  <si>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</si>
  <si>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</si>
  <si>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</si>
  <si>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</si>
  <si>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</si>
  <si>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</si>
  <si>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</si>
  <si>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</si>
  <si>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</si>
  <si>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</si>
  <si>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</si>
  <si>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</si>
  <si>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</si>
  <si>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</si>
  <si>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</si>
  <si>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</si>
  <si>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</si>
  <si>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CID001328</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</si>
  <si>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</si>
  <si>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</si>
  <si>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</si>
  <si>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</si>
  <si>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</si>
  <si>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</si>
  <si>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</si>
  <si>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</si>
  <si>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</si>
  <si>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</si>
  <si>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</si>
  <si>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</si>
  <si>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</si>
  <si>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</si>
  <si>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</si>
  <si>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</si>
  <si>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</si>
  <si>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</si>
  <si>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</si>
  <si>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</si>
  <si>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</si>
  <si>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</si>
  <si>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</si>
  <si>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</si>
  <si>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</si>
  <si>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</si>
  <si>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</si>
  <si>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</si>
  <si>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</si>
  <si>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</si>
  <si>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</si>
  <si>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</si>
  <si>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</si>
  <si>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</si>
  <si>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</si>
  <si>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</si>
  <si>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</si>
  <si>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</si>
  <si>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</si>
  <si>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</si>
  <si>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</si>
  <si>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</si>
  <si>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</si>
  <si>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</si>
  <si>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</si>
  <si>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</si>
  <si>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</si>
  <si>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</si>
  <si>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</si>
  <si>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</si>
  <si>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</si>
  <si>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</si>
  <si>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</si>
  <si>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</si>
  <si>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</si>
  <si>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</si>
  <si>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</si>
  <si>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</si>
  <si>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</si>
  <si>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</si>
  <si>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</si>
  <si>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</si>
  <si>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</si>
  <si>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</si>
  <si>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</si>
  <si>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</si>
  <si>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</si>
  <si>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</si>
  <si>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</si>
  <si>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</si>
  <si>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</si>
  <si>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CID001063</t>
  </si>
  <si>
    <t>CID001070</t>
  </si>
  <si>
    <t>CID001105</t>
  </si>
  <si>
    <t>CID001173</t>
  </si>
  <si>
    <t>CID001182</t>
  </si>
  <si>
    <t>CID001191</t>
  </si>
  <si>
    <t>CID001305</t>
  </si>
  <si>
    <t>O.M. Manufacturing (Thailand) Co., Ltd.</t>
  </si>
  <si>
    <t>CID001314</t>
  </si>
  <si>
    <t>CID001337</t>
  </si>
  <si>
    <t>CID001399</t>
  </si>
  <si>
    <t>CID001402</t>
  </si>
  <si>
    <t>CID001412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</si>
  <si>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</si>
  <si>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</si>
  <si>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</si>
  <si>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</si>
  <si>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</si>
  <si>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</si>
  <si>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</si>
  <si>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</si>
  <si>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</si>
  <si>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</si>
  <si>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</si>
  <si>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</si>
  <si>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</si>
  <si>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</si>
  <si>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</si>
  <si>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</si>
  <si>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</si>
  <si>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</si>
  <si>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</si>
  <si>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</si>
  <si>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</si>
  <si>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</si>
  <si>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</si>
  <si>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</si>
  <si>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</si>
  <si>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</si>
  <si>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</si>
  <si>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</si>
  <si>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</si>
  <si>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</si>
  <si>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</si>
  <si>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CID000868</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</si>
  <si>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</si>
  <si>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</si>
  <si>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</si>
  <si>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</si>
  <si>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</si>
  <si>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</si>
  <si>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</si>
  <si>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</si>
  <si>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</si>
  <si>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</si>
  <si>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この紛争鉱物報告テンプレートは、Electronic Industry Citizenship Coalition®(EICC®)及び Global e-Sustainability Initiative(GeSI)が作成した、無料の共通報告ツールです。このテンプレートは鉱物の 原産国と、使用される製錬・精製業者に関しサプライチェーンを通して情報を収集することを円滑にし、法律*のコンプライアンスを援助します。このテンプレートは、コンフリクトフリー製錬業者(CFS)プログラム**の監査を受けることにつながる可能性のある、新たな製錬・精製業者の特定もサポートします。</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</si>
  <si>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</si>
  <si>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</si>
  <si>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</si>
  <si>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1. 御社の正式名称を記入してください。省略形は使わないでください。</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</si>
  <si>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</si>
  <si>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</si>
  <si>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</si>
  <si>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</si>
  <si>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</si>
  <si>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</si>
  <si>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</si>
  <si>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</si>
  <si>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</si>
  <si>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</si>
  <si>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</si>
  <si>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</si>
  <si>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</si>
  <si>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</si>
  <si>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</si>
  <si>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</si>
  <si>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</si>
  <si>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</si>
  <si>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1. 金属(*) － ドロップダウンメニューを使用して、製錬業者情報を入力する該当金属を選択してください。この欄は必須です。</t>
  </si>
  <si>
    <t>3. 製錬業者名(*)　－　C列で「Smelter Not Listed（製錬業者が表に含まれていない）」を選択した場合、製錬業者名を記入してください。C列で製錬業者名を選択した場合には、この欄は自動入力されます。この欄は必須です。</t>
  </si>
  <si>
    <t>4.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</si>
  <si>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</si>
  <si>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10.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</si>
  <si>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</si>
  <si>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</si>
  <si>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</si>
  <si>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</si>
  <si>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</si>
  <si>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</si>
  <si>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</si>
  <si>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</si>
  <si>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</si>
  <si>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</si>
  <si>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</si>
  <si>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</si>
  <si>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</si>
  <si>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</si>
  <si>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</si>
  <si>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</si>
  <si>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</si>
  <si>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</si>
  <si>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</si>
  <si>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Asahi Pretec Corporation</t>
  </si>
  <si>
    <t>United Precious Metal Refining, Inc.</t>
  </si>
  <si>
    <t>Malaysia Smelting Corporation (MSC)</t>
  </si>
  <si>
    <t>Ketapang</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</si>
  <si>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</si>
  <si>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</si>
  <si>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</si>
  <si>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</si>
  <si>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</si>
  <si>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</si>
  <si>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</si>
  <si>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</si>
  <si>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</si>
  <si>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</si>
  <si>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</si>
  <si>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</si>
  <si>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</si>
  <si>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</si>
  <si>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</si>
  <si>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</si>
  <si>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</si>
  <si>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</si>
  <si>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</si>
  <si>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</si>
  <si>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</si>
  <si>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</si>
  <si>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</si>
  <si>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</si>
  <si>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</si>
  <si>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</si>
  <si>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</si>
  <si>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</si>
  <si>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</si>
  <si>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</si>
  <si>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</si>
  <si>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</si>
  <si>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</si>
  <si>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</si>
  <si>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</si>
  <si>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</si>
  <si>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</si>
  <si>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</si>
  <si>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</si>
  <si>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</si>
  <si>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</si>
  <si>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</si>
  <si>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</si>
  <si>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</si>
  <si>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</si>
  <si>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</si>
  <si>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</si>
  <si>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</si>
  <si>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</si>
  <si>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</si>
  <si>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</si>
  <si>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</si>
  <si>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</si>
  <si>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</si>
  <si>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</si>
  <si>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</si>
  <si>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</si>
  <si>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</si>
  <si>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</si>
  <si>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</si>
  <si>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</si>
  <si>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</si>
  <si>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</si>
  <si>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</si>
  <si>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</si>
  <si>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</si>
  <si>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</si>
  <si>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</si>
  <si>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</si>
  <si>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</si>
  <si>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</si>
  <si>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</si>
  <si>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</si>
  <si>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</si>
  <si>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</si>
  <si>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</si>
  <si>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</si>
  <si>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</si>
  <si>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</si>
  <si>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</si>
  <si>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</si>
  <si>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</si>
  <si>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</si>
  <si>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</si>
  <si>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</si>
  <si>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</si>
  <si>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</si>
  <si>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</si>
  <si>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</si>
  <si>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</si>
  <si>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</si>
  <si>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</si>
  <si>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</si>
  <si>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</si>
  <si>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</si>
  <si>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</si>
  <si>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</si>
  <si>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</si>
  <si>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</si>
  <si>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</si>
  <si>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</si>
  <si>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</si>
  <si>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</si>
  <si>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</si>
  <si>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</si>
  <si>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</si>
  <si>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</si>
  <si>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</si>
  <si>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</si>
  <si>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</si>
  <si>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</si>
  <si>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</si>
  <si>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</si>
  <si>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</si>
  <si>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</si>
  <si>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</si>
  <si>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</si>
  <si>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</si>
  <si>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</si>
  <si>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</si>
  <si>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</si>
  <si>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</si>
  <si>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</si>
  <si>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</si>
  <si>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</si>
  <si>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</si>
  <si>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</si>
  <si>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</si>
  <si>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</si>
  <si>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</si>
  <si>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</si>
  <si>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</si>
  <si>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</si>
  <si>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</si>
  <si>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</si>
  <si>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</si>
  <si>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</si>
  <si>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</si>
  <si>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</si>
  <si>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</si>
  <si>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</si>
  <si>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</si>
  <si>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</si>
  <si>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</si>
  <si>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</si>
  <si>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</si>
  <si>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</si>
  <si>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</si>
  <si>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</si>
  <si>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</si>
  <si>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</si>
  <si>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</si>
  <si>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</si>
  <si>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</si>
  <si>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</si>
  <si>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</si>
  <si>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</si>
  <si>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</si>
  <si>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</si>
  <si>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</si>
  <si>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</si>
  <si>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</si>
  <si>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</si>
  <si>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</si>
  <si>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</si>
  <si>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</si>
  <si>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</si>
  <si>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</si>
  <si>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</si>
  <si>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</si>
  <si>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</si>
  <si>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</si>
  <si>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</si>
  <si>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</si>
  <si>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</si>
  <si>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</si>
  <si>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</si>
  <si>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</si>
  <si>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</si>
  <si>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</si>
  <si>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</si>
  <si>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</si>
  <si>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</si>
  <si>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</si>
  <si>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</si>
  <si>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</si>
  <si>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</si>
  <si>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</si>
  <si>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</si>
  <si>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</si>
  <si>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</si>
  <si>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</si>
  <si>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</si>
  <si>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</si>
  <si>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</si>
  <si>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</si>
  <si>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</si>
  <si>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</si>
  <si>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</si>
  <si>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</si>
  <si>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</si>
  <si>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</si>
  <si>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</si>
  <si>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</si>
  <si>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</si>
  <si>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</si>
  <si>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</si>
  <si>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</si>
  <si>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</si>
  <si>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</si>
  <si>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</si>
  <si>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</si>
  <si>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</si>
  <si>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</si>
  <si>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</si>
  <si>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</si>
  <si>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</si>
  <si>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</si>
  <si>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</si>
  <si>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</si>
  <si>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</si>
  <si>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</si>
  <si>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</si>
  <si>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</si>
  <si>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</si>
  <si>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</si>
  <si>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</si>
  <si>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</si>
  <si>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</si>
  <si>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</si>
  <si>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</si>
  <si>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</si>
  <si>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</si>
  <si>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</si>
  <si>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</si>
  <si>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</si>
  <si>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</si>
  <si>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</si>
  <si>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</si>
  <si>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</si>
  <si>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</si>
  <si>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</si>
  <si>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</si>
  <si>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</si>
  <si>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</si>
  <si>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</si>
  <si>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</si>
  <si>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</si>
  <si>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</si>
  <si>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</si>
  <si>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</si>
  <si>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</si>
  <si>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</si>
  <si>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</si>
  <si>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</si>
  <si>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</si>
  <si>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</si>
  <si>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</si>
  <si>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</si>
  <si>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</si>
  <si>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</si>
  <si>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</si>
  <si>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</si>
  <si>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</si>
  <si>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</si>
  <si>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</si>
  <si>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</si>
  <si>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</si>
  <si>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</si>
  <si>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</si>
  <si>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</si>
  <si>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</si>
  <si>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</si>
  <si>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</si>
  <si>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</si>
  <si>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</si>
  <si>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</si>
  <si>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</si>
  <si>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</si>
  <si>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</si>
  <si>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</si>
  <si>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</si>
  <si>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</si>
  <si>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</si>
  <si>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</si>
  <si>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</si>
  <si>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</si>
  <si>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</si>
  <si>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</si>
  <si>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</si>
  <si>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</si>
  <si>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</si>
  <si>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</si>
  <si>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</si>
  <si>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</si>
  <si>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</si>
  <si>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</si>
  <si>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</si>
  <si>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</si>
  <si>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</si>
  <si>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</si>
  <si>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</si>
  <si>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</si>
  <si>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</si>
  <si>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</si>
  <si>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</si>
  <si>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</si>
  <si>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</si>
  <si>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</si>
  <si>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</si>
  <si>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</si>
  <si>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</si>
  <si>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</si>
  <si>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</si>
  <si>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Ulba</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</si>
  <si>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</si>
  <si>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</si>
  <si>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</si>
  <si>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</si>
  <si>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</si>
  <si>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</si>
  <si>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</si>
  <si>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</si>
  <si>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</si>
  <si>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PAMP SA</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</si>
  <si>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</si>
  <si>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</si>
  <si>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</si>
  <si>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</si>
  <si>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</si>
  <si>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</si>
  <si>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</si>
  <si>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</si>
  <si>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</si>
  <si>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</si>
  <si>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</si>
  <si>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</si>
  <si>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</si>
  <si>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</si>
  <si>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</si>
  <si>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</si>
  <si>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</si>
  <si>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</si>
  <si>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</si>
  <si>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</si>
  <si>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</si>
  <si>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</si>
  <si>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</si>
  <si>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</si>
  <si>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</si>
  <si>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</si>
  <si>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</si>
  <si>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</si>
  <si>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</si>
  <si>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</si>
  <si>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</si>
  <si>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</si>
  <si>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</si>
  <si>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</si>
  <si>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</si>
  <si>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</si>
  <si>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</si>
  <si>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</si>
  <si>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</si>
  <si>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</si>
  <si>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</si>
  <si>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</si>
  <si>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</si>
  <si>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</si>
  <si>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</si>
  <si>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</si>
  <si>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</si>
  <si>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</si>
  <si>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</si>
  <si>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</si>
  <si>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</si>
  <si>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</si>
  <si>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</si>
  <si>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</si>
  <si>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</si>
  <si>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</si>
  <si>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</si>
  <si>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</si>
  <si>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</si>
  <si>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</si>
  <si>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</si>
  <si>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</si>
  <si>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</si>
  <si>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</si>
  <si>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</si>
  <si>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</si>
  <si>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</si>
  <si>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</si>
  <si>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</si>
  <si>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</si>
  <si>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</si>
  <si>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</si>
  <si>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</si>
  <si>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</si>
  <si>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</si>
  <si>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</si>
  <si>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</si>
  <si>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</si>
  <si>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</si>
  <si>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</si>
  <si>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</si>
  <si>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</si>
  <si>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</si>
  <si>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</si>
  <si>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</si>
  <si>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</si>
  <si>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</si>
  <si>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</si>
  <si>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</si>
  <si>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</si>
  <si>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</si>
  <si>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</si>
  <si>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</si>
  <si>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</si>
  <si>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</si>
  <si>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</si>
  <si>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</si>
  <si>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</si>
  <si>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</si>
  <si>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</si>
  <si>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</si>
  <si>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</si>
  <si>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</si>
  <si>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</si>
  <si>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</si>
  <si>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</si>
  <si>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</si>
  <si>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</si>
  <si>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</si>
  <si>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</si>
  <si>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</si>
  <si>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</si>
  <si>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</si>
  <si>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</si>
  <si>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</si>
  <si>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</si>
  <si>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</si>
  <si>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</si>
  <si>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</si>
  <si>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</si>
  <si>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</si>
  <si>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</si>
  <si>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</si>
  <si>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</si>
  <si>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</si>
  <si>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</si>
  <si>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</si>
  <si>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</si>
  <si>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</si>
  <si>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</si>
  <si>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</si>
  <si>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</si>
  <si>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</si>
  <si>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</si>
  <si>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</si>
  <si>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</si>
  <si>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</si>
  <si>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</si>
  <si>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</si>
  <si>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</si>
  <si>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</si>
  <si>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</si>
  <si>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</si>
  <si>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</si>
  <si>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</si>
  <si>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</si>
  <si>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</si>
  <si>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</si>
  <si>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</si>
  <si>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</si>
  <si>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</si>
  <si>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</si>
  <si>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</si>
  <si>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</si>
  <si>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</si>
  <si>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</si>
  <si>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</si>
  <si>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</si>
  <si>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</si>
  <si>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PT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</si>
  <si>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</si>
  <si>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</si>
  <si>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</si>
  <si>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</si>
  <si>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</si>
  <si>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</si>
  <si>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</si>
  <si>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</si>
  <si>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</si>
  <si>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</si>
  <si>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</si>
  <si>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</si>
  <si>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</si>
  <si>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1.  귀사의 법적인 공식 명칭을 기입하시오. 축약된 명칭을 기입하면 안됩니다.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</si>
  <si>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</si>
  <si>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</si>
  <si>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</si>
  <si>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</si>
  <si>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</si>
  <si>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</si>
  <si>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</si>
  <si>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</si>
  <si>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</si>
  <si>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</si>
  <si>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</si>
  <si>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</si>
  <si>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</si>
  <si>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</si>
  <si>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</si>
  <si>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</si>
  <si>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</si>
  <si>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</si>
  <si>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</si>
  <si>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</si>
  <si>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</si>
  <si>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</si>
  <si>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</si>
  <si>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</si>
  <si>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</si>
  <si>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</si>
  <si>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</si>
  <si>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</si>
  <si>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</si>
  <si>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</si>
  <si>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</si>
  <si>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</si>
  <si>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</si>
  <si>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</si>
  <si>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</si>
  <si>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</si>
  <si>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</si>
  <si>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</si>
  <si>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</si>
  <si>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</si>
  <si>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</si>
  <si>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</si>
  <si>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</si>
  <si>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</si>
  <si>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</si>
  <si>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</si>
  <si>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</si>
  <si>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</si>
  <si>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</si>
  <si>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</si>
  <si>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</si>
  <si>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</si>
  <si>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</si>
  <si>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</si>
  <si>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</si>
  <si>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</si>
  <si>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</si>
  <si>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</si>
  <si>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</si>
  <si>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</si>
  <si>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</si>
  <si>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</si>
  <si>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</si>
  <si>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</si>
  <si>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</si>
  <si>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</si>
  <si>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</si>
  <si>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</si>
  <si>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</si>
  <si>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</si>
  <si>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</si>
  <si>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</si>
  <si>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</si>
  <si>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</si>
  <si>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</si>
  <si>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</si>
  <si>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</si>
  <si>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</si>
  <si>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</si>
  <si>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</si>
  <si>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</si>
  <si>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</si>
  <si>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</si>
  <si>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</si>
  <si>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</si>
  <si>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</si>
  <si>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</si>
  <si>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</si>
  <si>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</si>
  <si>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</si>
  <si>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</si>
  <si>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</si>
  <si>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</si>
  <si>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</si>
  <si>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</si>
  <si>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</si>
  <si>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</si>
  <si>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</si>
  <si>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</si>
  <si>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</si>
  <si>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</si>
  <si>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</si>
  <si>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</si>
  <si>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</si>
  <si>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</si>
  <si>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</si>
  <si>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</si>
  <si>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</si>
  <si>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</si>
  <si>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</si>
  <si>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</si>
  <si>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</si>
  <si>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</si>
  <si>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</si>
  <si>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</si>
  <si>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</si>
  <si>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</si>
  <si>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</si>
  <si>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</si>
  <si>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</si>
  <si>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</si>
  <si>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</si>
  <si>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</si>
  <si>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</si>
  <si>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</si>
  <si>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</si>
  <si>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</si>
  <si>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</si>
  <si>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</si>
  <si>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</si>
  <si>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</si>
  <si>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</si>
  <si>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</si>
  <si>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</si>
  <si>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</si>
  <si>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</si>
  <si>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</si>
  <si>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</si>
  <si>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</si>
  <si>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</si>
  <si>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</si>
  <si>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</si>
  <si>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</si>
  <si>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</si>
  <si>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</si>
  <si>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</si>
  <si>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</si>
  <si>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</si>
  <si>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</si>
  <si>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</si>
  <si>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</si>
  <si>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</si>
  <si>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</si>
  <si>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</si>
  <si>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</si>
  <si>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</si>
  <si>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</si>
  <si>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</si>
  <si>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</si>
  <si>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</si>
  <si>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</si>
  <si>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</si>
  <si>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</si>
  <si>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</si>
  <si>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</si>
  <si>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</si>
  <si>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</si>
  <si>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</si>
  <si>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</si>
  <si>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</si>
  <si>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</si>
  <si>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</si>
  <si>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</si>
  <si>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</si>
  <si>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</si>
  <si>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</si>
  <si>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</si>
  <si>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</si>
  <si>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</si>
  <si>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</si>
  <si>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</si>
  <si>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</si>
  <si>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</si>
  <si>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</si>
  <si>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</si>
  <si>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</si>
  <si>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</si>
  <si>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</si>
  <si>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</si>
  <si>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</si>
  <si>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</si>
  <si>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</si>
  <si>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</si>
  <si>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</si>
  <si>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</si>
  <si>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</si>
  <si>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</si>
  <si>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</si>
  <si>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</si>
  <si>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</si>
  <si>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</si>
  <si>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</si>
  <si>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</si>
  <si>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</si>
  <si>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</si>
  <si>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</si>
  <si>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</si>
  <si>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</si>
  <si>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</si>
  <si>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</si>
  <si>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</si>
  <si>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</si>
  <si>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</si>
  <si>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</si>
  <si>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</si>
  <si>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</si>
  <si>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</si>
  <si>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</si>
  <si>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</si>
  <si>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</si>
  <si>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</si>
  <si>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</si>
  <si>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</si>
  <si>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</si>
  <si>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</si>
  <si>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</si>
  <si>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</si>
  <si>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</si>
  <si>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</si>
  <si>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</si>
  <si>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</si>
  <si>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</si>
  <si>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</si>
  <si>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</si>
  <si>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</si>
  <si>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</si>
  <si>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</si>
  <si>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</si>
  <si>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</si>
  <si>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</si>
  <si>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</si>
  <si>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</si>
  <si>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</si>
  <si>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</si>
  <si>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</si>
  <si>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</si>
  <si>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</si>
  <si>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</si>
  <si>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</si>
  <si>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</si>
  <si>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</si>
  <si>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</si>
  <si>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</si>
  <si>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</si>
  <si>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</si>
  <si>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</si>
  <si>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</si>
  <si>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</si>
  <si>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</si>
  <si>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</si>
  <si>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</si>
  <si>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</si>
  <si>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</si>
  <si>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</si>
  <si>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</si>
  <si>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</si>
  <si>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</si>
  <si>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</si>
  <si>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</si>
  <si>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</si>
  <si>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</si>
  <si>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</si>
  <si>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</si>
  <si>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</si>
  <si>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</si>
  <si>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</si>
  <si>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</si>
  <si>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</si>
  <si>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</si>
  <si>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</si>
  <si>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</si>
  <si>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</si>
  <si>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</si>
  <si>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</si>
  <si>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</si>
  <si>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</si>
  <si>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</si>
  <si>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</si>
  <si>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</si>
  <si>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</si>
  <si>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</si>
  <si>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</si>
  <si>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</si>
  <si>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</si>
  <si>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</si>
  <si>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</si>
  <si>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</si>
  <si>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</si>
  <si>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</si>
  <si>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</si>
  <si>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</si>
  <si>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</si>
  <si>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</si>
  <si>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</si>
  <si>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</si>
  <si>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</si>
  <si>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</si>
  <si>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</si>
  <si>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</si>
  <si>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</si>
  <si>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</si>
  <si>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</si>
  <si>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</si>
  <si>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</si>
  <si>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</si>
  <si>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</si>
  <si>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</si>
  <si>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</si>
  <si>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</si>
  <si>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</si>
  <si>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</si>
  <si>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</si>
  <si>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</si>
  <si>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</si>
  <si>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</si>
  <si>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</si>
  <si>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</si>
  <si>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</si>
  <si>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</si>
  <si>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</si>
  <si>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</si>
  <si>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</si>
  <si>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</si>
  <si>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</si>
  <si>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</si>
  <si>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</si>
  <si>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</si>
  <si>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</si>
  <si>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</si>
  <si>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</si>
  <si>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</si>
  <si>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</si>
  <si>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</si>
  <si>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</si>
  <si>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</si>
  <si>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</si>
  <si>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</si>
  <si>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</si>
  <si>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</si>
  <si>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</si>
  <si>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</si>
  <si>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</si>
  <si>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</si>
  <si>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</si>
  <si>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</si>
  <si>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</si>
  <si>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</si>
  <si>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</si>
  <si>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</si>
  <si>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</si>
  <si>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</si>
  <si>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</si>
  <si>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</si>
  <si>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</si>
  <si>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</si>
  <si>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</si>
  <si>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</si>
  <si>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</si>
  <si>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</si>
  <si>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</si>
  <si>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</si>
  <si>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</si>
  <si>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</si>
  <si>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</si>
  <si>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</si>
  <si>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</si>
  <si>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</si>
  <si>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</si>
  <si>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</si>
  <si>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</si>
  <si>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</si>
  <si>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</si>
  <si>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</si>
  <si>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</si>
  <si>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</si>
  <si>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</si>
  <si>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</si>
  <si>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</si>
  <si>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</si>
  <si>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</si>
  <si>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</si>
  <si>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</si>
  <si>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</si>
  <si>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</si>
  <si>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</si>
  <si>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</si>
  <si>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</si>
  <si>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</si>
  <si>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</si>
  <si>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</si>
  <si>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</si>
  <si>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</si>
  <si>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</si>
  <si>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</si>
  <si>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</si>
  <si>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</si>
  <si>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</si>
  <si>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</si>
  <si>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</si>
  <si>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</si>
  <si>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</si>
  <si>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</si>
  <si>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</si>
  <si>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</si>
  <si>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</si>
  <si>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</si>
  <si>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</si>
  <si>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</si>
  <si>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</si>
  <si>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</si>
  <si>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</si>
  <si>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</si>
  <si>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</si>
  <si>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</si>
  <si>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</si>
  <si>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</si>
  <si>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</si>
  <si>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</si>
  <si>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</si>
  <si>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</si>
  <si>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</si>
  <si>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</si>
  <si>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</si>
  <si>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</si>
  <si>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</si>
  <si>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</si>
  <si>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</si>
  <si>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</si>
  <si>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</si>
  <si>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</si>
  <si>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</si>
  <si>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</si>
  <si>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</si>
  <si>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</si>
  <si>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</si>
  <si>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</si>
  <si>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</si>
  <si>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</si>
  <si>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</si>
  <si>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</si>
  <si>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</si>
  <si>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</si>
  <si>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</si>
  <si>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</si>
  <si>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</si>
  <si>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</si>
  <si>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</si>
  <si>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</si>
  <si>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</si>
  <si>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</si>
  <si>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</si>
  <si>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</si>
  <si>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</si>
  <si>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</si>
  <si>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</si>
  <si>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</si>
  <si>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</si>
  <si>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</si>
  <si>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</si>
  <si>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</si>
  <si>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</si>
  <si>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</si>
  <si>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</si>
  <si>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</si>
  <si>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</si>
  <si>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</si>
  <si>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</si>
  <si>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</si>
  <si>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</si>
  <si>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</si>
  <si>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</si>
  <si>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</si>
  <si>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</si>
  <si>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</si>
  <si>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Argor-Heraeus SA</t>
  </si>
  <si>
    <t>ATAkulche</t>
  </si>
  <si>
    <t>Aurubis AG</t>
  </si>
  <si>
    <t>Central Bank of the Philippines Gold Refinery &amp; Mint</t>
  </si>
  <si>
    <t>Boliden AB</t>
  </si>
  <si>
    <t>Heraeus Precious Metals GmbH &amp; Co. KG</t>
  </si>
  <si>
    <t>Ishifuku Metal Industry Co., Ltd.</t>
  </si>
  <si>
    <t>Metalor Technologies SA</t>
  </si>
  <si>
    <t>Metalor USA Refining Corporation</t>
  </si>
  <si>
    <t>Mitsui Mining and Smelting Co., Ltd.</t>
  </si>
  <si>
    <t>Navoi Mining and Metallurgical Combinat</t>
  </si>
  <si>
    <t>PT Aneka Tambang (Persero) Tbk</t>
  </si>
  <si>
    <t>Tanaka Kikinzoku Kogyo K.K.</t>
  </si>
  <si>
    <t>Umicore SA Business Unit Precious Metals Refining</t>
  </si>
  <si>
    <t>Valcambi SA</t>
  </si>
  <si>
    <t>Zhongjin Gold Corporation Limited</t>
  </si>
  <si>
    <t>OJSC Kolyma Refinery</t>
  </si>
  <si>
    <t>PX Précinox SA</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</si>
  <si>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</si>
  <si>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</si>
  <si>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</si>
  <si>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</si>
  <si>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</si>
  <si>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</si>
  <si>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</si>
  <si>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</si>
  <si>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</si>
  <si>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</si>
  <si>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</si>
  <si>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</si>
  <si>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</si>
  <si>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</si>
  <si>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</si>
  <si>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</si>
  <si>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</si>
  <si>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</si>
  <si>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1. Geben sie ihren rechtmäßigen Firmennamen ein. Abkürzungen sind nicht zulässig.</t>
  </si>
  <si>
    <t>B67</t>
  </si>
  <si>
    <t>1. Inserire la denominazione legale dell'Azienda. Si prega di non utilizzare abbreviazioni.</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</si>
  <si>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</si>
  <si>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</si>
  <si>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</si>
  <si>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</si>
  <si>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</si>
  <si>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</si>
  <si>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</si>
  <si>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</si>
  <si>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</si>
  <si>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</si>
  <si>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</si>
  <si>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</si>
  <si>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</si>
  <si>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</si>
  <si>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31"/>
  </si>
  <si>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</si>
  <si>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</si>
  <si>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</si>
  <si>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</si>
  <si>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</si>
  <si>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</si>
  <si>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</si>
  <si>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</si>
  <si>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</si>
  <si>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</si>
  <si>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</si>
  <si>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</si>
  <si>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</si>
  <si>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</si>
  <si>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</si>
  <si>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</si>
  <si>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</si>
  <si>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</si>
  <si>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</si>
  <si>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</si>
  <si>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</si>
  <si>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</si>
  <si>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</si>
  <si>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</si>
  <si>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</si>
  <si>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</si>
  <si>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</si>
  <si>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</si>
  <si>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</si>
  <si>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</si>
  <si>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</si>
  <si>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</si>
  <si>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</si>
  <si>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</si>
  <si>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</si>
  <si>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</si>
  <si>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</si>
  <si>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</si>
  <si>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</si>
  <si>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</si>
  <si>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</si>
  <si>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</si>
  <si>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</si>
  <si>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</si>
  <si>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</si>
  <si>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</si>
  <si>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</si>
  <si>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</si>
  <si>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</si>
  <si>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</si>
  <si>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</si>
  <si>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</si>
  <si>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</si>
  <si>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</si>
  <si>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</si>
  <si>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</si>
  <si>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</si>
  <si>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</si>
  <si>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</si>
  <si>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</si>
  <si>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</si>
  <si>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</si>
  <si>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</si>
  <si>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</si>
  <si>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</si>
  <si>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</si>
  <si>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</si>
  <si>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</si>
  <si>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</si>
  <si>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</si>
  <si>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</si>
  <si>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</si>
  <si>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</si>
  <si>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</si>
  <si>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</si>
  <si>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</si>
  <si>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</si>
  <si>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</si>
  <si>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</si>
  <si>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</si>
  <si>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</si>
  <si>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Melt Metais e Ligas S/A</t>
  </si>
  <si>
    <t>CID002500</t>
  </si>
  <si>
    <t>CID002011</t>
  </si>
  <si>
    <t>PT Timah (Persero), Tbk</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</si>
  <si>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</si>
  <si>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</si>
  <si>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</si>
  <si>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</si>
  <si>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</si>
  <si>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</si>
  <si>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</si>
  <si>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</si>
  <si>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</si>
  <si>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</si>
  <si>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</si>
  <si>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</si>
  <si>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</si>
  <si>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</si>
  <si>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</si>
  <si>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</si>
  <si>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</si>
  <si>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</si>
  <si>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</si>
  <si>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</si>
  <si>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</si>
  <si>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3. Schmelzer Name ( * ) - Füllen Sie den Namen des Schmelzers in Spalte C ein, wenn Sie  "Schmelzer nicht aufgelistet" ausgewählt haben.  Dieses Feld wird automatisch ausgefüllt, wenn ein Schmelzer in Spalte C ausgewählt wurde. Dies ist ein Pflichteingabefeld.</t>
  </si>
  <si>
    <t>4.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</si>
  <si>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</si>
  <si>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Quelle der Schmelzer Identifikationsnummer - das ist die Quelle des Schmelzers, welche  in der Spalte F eingegeben wurde. Wenn ein Schmelzofen aus der Drop-down Box in Spalte C ausgewählt wurde, dann wird dieses Feld automatisch aufgefüllt werden.</t>
  </si>
  <si>
    <t>10.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</si>
  <si>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Schmelzer Kontakt-E-Mail - Tragen Sie die E-mail Adresse des Ansprechpartners des Schmelzers ein. Zum Beispiel:   John.Smith@SmelterXXX.com.  Lesen Sie bitte die Anweisungen für die Eingabe des Ansprechpartners  vor der Eingabe des Kontakt Namens.</t>
  </si>
  <si>
    <t>13. Name der Minen - Dieses Feld ermöglicht es einem Unternehmen zur Festlegung des tatsächlichen verwendeten Minen der Schmelzer. Bitte geben Sie den tatsächlichen Namen der Mine an wenn bekannt. Wenn 100% des Rohstoffes des Schmelzers  aus Recycling oder Schrott stammen,  dann geben Sie "Recycled" oder "Schrott" anstatt des Namens der Mine ein und antworten mit  "Ja" in der Spalte P.</t>
  </si>
  <si>
    <t>14. Ort (Land) von Minen - Dies ist ein freies Textfeld zur Eingabe der Lage der Mine, welche vom Schmelzer genutzt wird. Bitte geben Sie das Land der Minen ein. Ist das Ursprungsland nicht bekannt, dann geben Sie "Unbekannt" ein.  Wenn 100% des Rohstoffes des Schmelzers  aus Recycling oder Schrott stammen,  dann geben Sie "Recycled" oder "Schrott" anstatt des Herkunftslandes ein. Dieses Feld ist optional.</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</si>
  <si>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</si>
  <si>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</si>
  <si>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</si>
  <si>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</si>
  <si>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</si>
  <si>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</si>
  <si>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</si>
  <si>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</si>
  <si>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</si>
  <si>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</si>
  <si>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</si>
  <si>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</si>
  <si>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</si>
  <si>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</si>
  <si>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</si>
  <si>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</si>
  <si>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</si>
  <si>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</si>
  <si>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</si>
  <si>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</si>
  <si>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</si>
  <si>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</si>
  <si>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</si>
  <si>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</si>
  <si>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</si>
  <si>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</si>
  <si>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Wählen Sie Ihre Erklärung. Die Optionen für den Geltungsbereich sind:
A. Unternehmensweit
B. Ware (oder eine Liste von Produkten)
C. Benutzerdefinierte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</si>
  <si>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</si>
  <si>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</si>
  <si>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</si>
  <si>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</si>
  <si>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</si>
  <si>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</si>
  <si>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Dieser Konfliktmineralien Fragebogen  ist eine freie, standardisierte Berichtsvorlage, welche von der Electronic Industry Citizenship Coalition (EICC®) und der Global e-Sustainability Initiative (GeSI) erstellt wurde.  Die Vorlage vereinfacht die Übertragung von Informationen in der Lieferkette zu mineralischen Ursprungs- und Hüttenwerken und Raffinerien und unterstützt die Einhaltung der Rechtsvorschriften * . Die Vorlage ermöglicht auch die Ermittlung von neuen Hütten- /Schmelzwerken und Raffinerien, um ein Audit bzgl. des  Conflict-Free Smelter Programmes durchzuführen. **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</si>
  <si>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</si>
  <si>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</si>
  <si>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1.  Metall ( * ) - Verwenden Sie das Pull-down-Menü, um das Metall auszuwählen,  für welches Sie Informationen über den Schmelzer eingeben. Dies ist ein Pflichteingabefeld.</t>
  </si>
  <si>
    <t>12. Vorgeschlagene nächste Schritte - Das ist ein Bereich für  Kommentare, damit das Unternehmen die nächsten Schritte zur Verwaltung der Schmelzer spezifizieren kann.  Dies sind die Aktionen, welche Sie anwenden müssen, wenn der Schmelzer nicht im CFSI konfliktfreien Schmelzer Programm aufgelistet ist. Beispiel:  Antrag zur Bewertung der Schmelzer Anlagen durch die GASP (CFSP),  Streichung aus der Liste bevorzugter Lieferanten etc.</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</si>
  <si>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</si>
  <si>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</si>
  <si>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</si>
  <si>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</si>
  <si>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</si>
  <si>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</si>
  <si>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</si>
  <si>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</si>
  <si>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</si>
  <si>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</si>
  <si>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</si>
  <si>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</si>
  <si>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</si>
  <si>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</si>
  <si>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</si>
  <si>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</si>
  <si>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</si>
  <si>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</si>
  <si>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</si>
  <si>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</si>
  <si>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</si>
  <si>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</si>
  <si>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</si>
  <si>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Cendres + Métaux SA</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</si>
  <si>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</si>
  <si>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</si>
  <si>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</si>
  <si>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</si>
  <si>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</si>
  <si>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</si>
  <si>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</si>
  <si>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</si>
  <si>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</si>
  <si>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</si>
  <si>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</si>
  <si>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Alam Lestari Kencana</t>
  </si>
  <si>
    <t>CID001393</t>
  </si>
  <si>
    <t>PT Bangka Kudai Tin</t>
  </si>
  <si>
    <t>CID001409</t>
  </si>
  <si>
    <t>PT Bangka Timah Utama Sejahtera</t>
  </si>
  <si>
    <t>CID001416</t>
  </si>
  <si>
    <t>PT BilliTin Makmur Lestari</t>
  </si>
  <si>
    <t>CID001424</t>
  </si>
  <si>
    <t>PT Fang Di MulTindo</t>
  </si>
  <si>
    <t>CID001442</t>
  </si>
  <si>
    <t>PT Panca Mega Persada</t>
  </si>
  <si>
    <t>CID001457</t>
  </si>
  <si>
    <t>CID001466</t>
  </si>
  <si>
    <t>PT Sumber Jaya Indah</t>
  </si>
  <si>
    <t>CID001471</t>
  </si>
  <si>
    <t>CID001486</t>
  </si>
  <si>
    <t>Advanced Chemical Company</t>
  </si>
  <si>
    <t>CID000015</t>
  </si>
  <si>
    <t>CID000028</t>
  </si>
  <si>
    <t>Aktyubinsk Copper Company TOO</t>
  </si>
  <si>
    <t>Fidelity Printers and Refiners Ltd.</t>
  </si>
  <si>
    <t>CID002515</t>
  </si>
  <si>
    <t>KGHM Polska Miedź Spółka Akcyjna</t>
  </si>
  <si>
    <t>CID002511</t>
  </si>
  <si>
    <t>Lingbao Gold Company Limited</t>
  </si>
  <si>
    <t>CID001056</t>
  </si>
  <si>
    <t>CID002509</t>
  </si>
  <si>
    <t>Republic Metals Corporation</t>
  </si>
  <si>
    <t>CID002510</t>
  </si>
  <si>
    <t>CID001736</t>
  </si>
  <si>
    <t>Singway Technology Co., Ltd.</t>
  </si>
  <si>
    <t>CID002516</t>
  </si>
  <si>
    <t>D Block Metals, LLC</t>
  </si>
  <si>
    <t>CID002504</t>
  </si>
  <si>
    <t>CID002505</t>
  </si>
  <si>
    <t>Guizhou Zhenhua Xinyun Technology Ltd., Kaili branch</t>
  </si>
  <si>
    <t>CID002501</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</si>
  <si>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</si>
  <si>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</si>
  <si>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</si>
  <si>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</si>
  <si>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</si>
  <si>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</si>
  <si>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</si>
  <si>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</si>
  <si>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</si>
  <si>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</si>
  <si>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</si>
  <si>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</si>
  <si>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</si>
  <si>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</si>
  <si>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</si>
  <si>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</si>
  <si>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</si>
  <si>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</si>
  <si>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</si>
  <si>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</si>
  <si>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</si>
  <si>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Ganxian Shirui New Material Co., Ltd.</t>
  </si>
  <si>
    <t>CID002531</t>
  </si>
  <si>
    <t>Ganzhou Yatai Tungsten Co., Ltd.</t>
  </si>
  <si>
    <t>CID002536</t>
  </si>
  <si>
    <t>Jiangxi Xiushui Xianggan Nonferrous Metals Co., Ltd.</t>
  </si>
  <si>
    <t>CID002535</t>
  </si>
  <si>
    <t>Sanher Tungsten Vietnam Co., Ltd.</t>
  </si>
  <si>
    <t>CID002538</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</si>
  <si>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</si>
  <si>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</si>
  <si>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</si>
  <si>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</si>
  <si>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</si>
  <si>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</si>
  <si>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</si>
  <si>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</si>
  <si>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</si>
  <si>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</si>
  <si>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</si>
  <si>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</si>
  <si>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</si>
  <si>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</si>
  <si>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</si>
  <si>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</si>
  <si>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</si>
  <si>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</si>
  <si>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</si>
  <si>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</si>
  <si>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</si>
  <si>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</si>
  <si>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</si>
  <si>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</si>
  <si>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</si>
  <si>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</si>
  <si>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</si>
  <si>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</si>
  <si>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</si>
  <si>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PT Pelat Timah Nusantara Tbk</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</si>
  <si>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</si>
  <si>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</si>
  <si>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</si>
  <si>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</si>
  <si>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</si>
  <si>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</si>
  <si>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</si>
  <si>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</si>
  <si>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</si>
  <si>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</si>
  <si>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</si>
  <si>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 2015 Conflict-Free Sourcing Initiative. All rights reserved.</t>
  </si>
  <si>
    <t>Sheets</t>
  </si>
  <si>
    <r>
      <t>中文</t>
    </r>
    <r>
      <rPr>
        <sz val="11"/>
        <rFont val="Verdana"/>
        <family val="2"/>
      </rPr>
      <t xml:space="preserve"> Chinese</t>
    </r>
  </si>
  <si>
    <r>
      <t>日本語</t>
    </r>
    <r>
      <rPr>
        <sz val="11"/>
        <rFont val="Verdana"/>
        <family val="2"/>
      </rPr>
      <t xml:space="preserve"> Japanese</t>
    </r>
  </si>
  <si>
    <r>
      <t>此份冲突矿产报告模板（模板）是由电子行业公民联盟(EICC®)及全球电子可持续发展倡议组织（GeSI）所制定的，无需费用的标准报告格式模板。 该模板便于传递来自供应链中关于矿产原产地及相应的冶炼厂、精炼厂的信息，以此来确保法律法规</t>
    </r>
    <r>
      <rPr>
        <vertAlign val="superscript"/>
        <sz val="11"/>
        <rFont val="Calibri"/>
        <family val="2"/>
      </rPr>
      <t>*</t>
    </r>
    <r>
      <rPr>
        <sz val="11"/>
        <rFont val="Calibri"/>
        <family val="2"/>
      </rPr>
      <t>的遵守。 并且，该模板亦有助于识别新的冶炼厂和精炼厂，从而必要时对它们进行无冲突矿产冶炼计划</t>
    </r>
    <r>
      <rPr>
        <vertAlign val="superscript"/>
        <sz val="11"/>
        <rFont val="Calibri"/>
        <family val="2"/>
      </rPr>
      <t>**</t>
    </r>
    <r>
      <rPr>
        <sz val="11"/>
        <rFont val="Calibri"/>
        <family val="2"/>
      </rPr>
      <t xml:space="preserve">所要求的审核。 </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</si>
  <si>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</si>
  <si>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</si>
  <si>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</si>
  <si>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1. 金属（</t>
    </r>
    <r>
      <rPr>
        <vertAlign val="superscript"/>
        <sz val="11"/>
        <rFont val="Calibri"/>
        <family val="2"/>
      </rPr>
      <t>*</t>
    </r>
    <r>
      <rPr>
        <sz val="11"/>
        <rFont val="Calibri"/>
        <family val="2"/>
      </rPr>
      <t xml:space="preserve">）- 在下拉菜单中选择正在录入信息的冶炼厂所提炼的金属。 </t>
    </r>
  </si>
  <si>
    <r>
      <t>3.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</si>
  <si>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r>
      <t>4</t>
    </r>
    <r>
      <rPr>
        <sz val="11"/>
        <rFont val="Calibri"/>
        <family val="2"/>
      </rPr>
      <t>.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</si>
  <si>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r>
      <t xml:space="preserve">10.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</si>
  <si>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</si>
  <si>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</si>
  <si>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</si>
  <si>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</si>
  <si>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带星号（</t>
    </r>
    <r>
      <rPr>
        <vertAlign val="superscript"/>
        <sz val="11"/>
        <rFont val="Calibri"/>
        <family val="2"/>
      </rPr>
      <t>*</t>
    </r>
    <r>
      <rPr>
        <sz val="11"/>
        <rFont val="Verdana"/>
        <family val="2"/>
      </rPr>
      <t>）的栏目必须填写。此报告内的信息需每年收集更新。在一年周期内对此报告的任何改动须告之客户。</t>
    </r>
    <r>
      <rPr>
        <sz val="11"/>
        <rFont val="Calibri"/>
        <family val="2"/>
      </rPr>
      <t xml:space="preserve">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</si>
  <si>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</si>
  <si>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</si>
  <si>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</si>
  <si>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</si>
  <si>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</si>
  <si>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family val="3"/>
        <charset val="134"/>
      </rPr>
      <t>联系人姓名</t>
    </r>
    <r>
      <rPr>
        <sz val="11"/>
        <rFont val="Verdana"/>
        <family val="2"/>
      </rPr>
      <t xml:space="preserve"> (*):</t>
    </r>
  </si>
  <si>
    <r>
      <rPr>
        <sz val="11"/>
        <rFont val="宋体"/>
        <family val="3"/>
        <charset val="134"/>
      </rPr>
      <t>联系人电邮地址</t>
    </r>
    <r>
      <rPr>
        <sz val="11"/>
        <rFont val="Verdana"/>
        <family val="2"/>
      </rPr>
      <t xml:space="preserve"> (*):</t>
    </r>
  </si>
  <si>
    <r>
      <rPr>
        <sz val="11"/>
        <rFont val="宋体"/>
        <family val="3"/>
        <charset val="134"/>
      </rPr>
      <t>联系人电话</t>
    </r>
    <r>
      <rPr>
        <sz val="11"/>
        <rFont val="Verdana"/>
        <family val="2"/>
      </rPr>
      <t xml:space="preserve"> (*):</t>
    </r>
  </si>
  <si>
    <r>
      <rPr>
        <sz val="11"/>
        <rFont val="宋体"/>
        <family val="3"/>
        <charset val="134"/>
      </rPr>
      <t>授权人姓名</t>
    </r>
    <r>
      <rPr>
        <sz val="11"/>
        <rFont val="Verdana"/>
        <family val="2"/>
      </rPr>
      <t xml:space="preserve"> (*):</t>
    </r>
  </si>
  <si>
    <r>
      <rPr>
        <sz val="11"/>
        <rFont val="宋体"/>
        <family val="3"/>
        <charset val="134"/>
      </rPr>
      <t>授权人职务</t>
    </r>
    <r>
      <rPr>
        <sz val="11"/>
        <rFont val="Verdana"/>
        <family val="2"/>
      </rPr>
      <t>:</t>
    </r>
  </si>
  <si>
    <r>
      <rPr>
        <sz val="11"/>
        <rFont val="宋体"/>
        <family val="3"/>
        <charset val="134"/>
      </rPr>
      <t>授权人电邮地址</t>
    </r>
    <r>
      <rPr>
        <sz val="11"/>
        <rFont val="Verdana"/>
        <family val="2"/>
      </rPr>
      <t xml:space="preserve"> (*):</t>
    </r>
  </si>
  <si>
    <r>
      <rPr>
        <sz val="11"/>
        <rFont val="宋体"/>
        <family val="3"/>
        <charset val="134"/>
      </rPr>
      <t>授权人电话</t>
    </r>
    <r>
      <rPr>
        <sz val="11"/>
        <rFont val="Verdana"/>
        <family val="2"/>
      </rPr>
      <t xml:space="preserve"> (*):</t>
    </r>
  </si>
  <si>
    <r>
      <rPr>
        <sz val="11"/>
        <rFont val="宋体"/>
        <family val="3"/>
        <charset val="134"/>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</si>
  <si>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</si>
  <si>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</si>
  <si>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</si>
  <si>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</si>
  <si>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</si>
  <si>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</si>
  <si>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</si>
  <si>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</si>
  <si>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</si>
  <si>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1.- Metal (*)   -   Use el menú de opciones para seleccionar el metal para el cual estas capturando la i</t>
    </r>
    <r>
      <rPr>
        <sz val="11"/>
        <rFont val="Calibri"/>
        <family val="2"/>
      </rPr>
      <t>nformación del fundidor. Este campo es obligatorio.</t>
    </r>
  </si>
  <si>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</si>
  <si>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</si>
  <si>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</si>
  <si>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</si>
  <si>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</si>
  <si>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</si>
  <si>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t>
  </si>
  <si>
    <t>1. 这是两个问题中的第一个问题，其答复用来确定 3TG 是否在冲突矿产报告要求范围内。此问题以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必须为每个 3TG 回答此问题。此问题的有效答复为“是”或“否”。此问题必须作答。</t>
  </si>
  <si>
    <t>1.  この最初の質問2つに対する回答は、3TGが紛争鉱物報告要件の範囲内に当てはまるか否かを判定するために使用されます。この質問は、3TGが製品の「機能性にとって必要」か否かの判定に関する最終規則においてSECが規定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この質問に対するこの回答は、鋼中スズといった微量の汚染物質を排除する役割を果たします。
この質問には、3TGそれぞれについて回答するべきです。この質問には、「Yes（はい）」又は「No（いいえ）」で回答してください。この質問への回答は必須です。</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</si>
  <si>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muss für jedes 3TG-Mineral beantwortet werden. Gültige Antworten auf diese Frage sind entweder „Ja“ oder „Nein“. Diese Frage muss beantwortet werden.</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</si>
  <si>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</si>
  <si>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 xml:space="preserve">2. 这是两个问题中的第二个问题，其答复用来确定 3TG 是否在 SEC 关于确定 3TG 是否对产品的“生产有必要”的最终规则中所述的冲突矿产报告要求范围内。此问题与问题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</si>
  <si>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の2つ目の質問2つの回答は、製品の「生産にとって必要」か否かの判定に関する最終規則においてSECが規定した紛争鉱物報告要件の範囲内に3TGが当てはまるか否かを判定するために使用されます。この質問は、質問1の質問や回答とは別個のものです。この質問は、製品の製造過程において意図的に付加された3TG、および完成品のどこにある程度の3TGが残留するかを特定することを意図したものです。この3TGは本来完成品の一部を成すはずではなく製品の「機能性にとって必要」な可能性は低いものの、製造過程の残留物として存在するに過ぎない可能性が高いといえます。多くの場合、メーカーは製造過程中に3TGの削除または消耗を促進しようと努めますが、ある程度の3TGが残留します。製造過程中に使用された3TGがその過程中に完全に削除された場合、この質問に対する回答は「No（いいえ）」です。
この質問には、3TGそれぞれについて回答するべきです。「Yes（はい）」又は「No（いいえ）」で必ず回答してください。この質問への回答は必須です。
</t>
  </si>
  <si>
    <t>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t>
  </si>
  <si>
    <t>3. 这是要申报存在于一种产品或多种产品中的 3TG 的任何部分的源产地是刚果民主共和国及其毗邻受管制国家。
以“是”、“否”或“不知道”来答复此问题。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</si>
  <si>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
この質問は、質問1又は2の回答が「Yes（はい）」の金属については必須となります。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</si>
  <si>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</si>
  <si>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</si>
  <si>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</si>
  <si>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</si>
  <si>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</si>
  <si>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</si>
  <si>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</si>
  <si>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</si>
  <si>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</si>
  <si>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</si>
  <si>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</si>
  <si>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</si>
  <si>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</si>
  <si>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</si>
  <si>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</si>
  <si>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</si>
  <si>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</si>
  <si>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</si>
  <si>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7. Smelter Street -  Provide the street name on which the smelter is located. This field is optional.</t>
  </si>
  <si>
    <t>7. 冶炼厂所在街道 - 提供冶炼厂所在街道的名称。此栏自由选择填写。</t>
  </si>
  <si>
    <t>7.  製錬業者所在地：番地　－　製錬所の所在する番地を記入してください。この欄は任意記入欄です。</t>
  </si>
  <si>
    <t>8. Smelter City – Provide the city name of where the smelter is located. This field is optional.</t>
  </si>
  <si>
    <t>8. 冶炼厂所在城市 - 提供冶炼厂所在城市的名称。此栏自由选择填写。</t>
  </si>
  <si>
    <t>8.  製錬業者所在地：市　－　製錬所の所在する市を記入してください。この欄は任意記入欄です。</t>
  </si>
  <si>
    <t>9. Smelter Location: State/Province, if applicable – Provide the state or province where the smelter is located. This field is optional.</t>
  </si>
  <si>
    <t>9. 冶炼厂地点： 州/省（如适用）- 提供冶炼厂所在的州/省。此栏自由选择填写。</t>
  </si>
  <si>
    <t>9.  製錬業者所在地： 州／県／省（該当する場合のみ回答）　－　製錬所の所在する州又は県を記入してください。この欄は任意記入欄です。</t>
  </si>
  <si>
    <t>9. Standort des Schmelzofens: Ggf. Bundesland/Region/Provinz – Geben Sie das Bundesland oder die Region/Provinz des Schmelzofenstandortes an. Das Ausfüllen dieses Feldes ist freiwillig.</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</si>
  <si>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</si>
  <si>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</si>
  <si>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</si>
  <si>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</si>
  <si>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</si>
  <si>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</si>
  <si>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</si>
  <si>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冶炼厂参考目录</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</si>
  <si>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</si>
  <si>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</si>
  <si>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</si>
  <si>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</si>
  <si>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</si>
  <si>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</si>
  <si>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family val="3"/>
        <charset val="134"/>
      </rPr>
      <t xml:space="preserve">选择贵公司的申报范围。范围的选项为：
</t>
    </r>
    <r>
      <rPr>
        <sz val="10"/>
        <rFont val="Verdana"/>
        <family val="2"/>
      </rPr>
      <t xml:space="preserve">A. </t>
    </r>
    <r>
      <rPr>
        <sz val="10"/>
        <rFont val="宋体"/>
        <family val="3"/>
        <charset val="134"/>
      </rPr>
      <t xml:space="preserve">全公司
</t>
    </r>
    <r>
      <rPr>
        <sz val="10"/>
        <rFont val="Verdana"/>
        <family val="2"/>
      </rPr>
      <t xml:space="preserve">B. </t>
    </r>
    <r>
      <rPr>
        <sz val="10"/>
        <rFont val="宋体"/>
        <family val="3"/>
        <charset val="134"/>
      </rPr>
      <t xml:space="preserve">产品（或产品清单）
</t>
    </r>
    <r>
      <rPr>
        <sz val="10"/>
        <rFont val="Verdana"/>
        <family val="2"/>
      </rPr>
      <t xml:space="preserve">C. </t>
    </r>
    <r>
      <rPr>
        <sz val="10"/>
        <rFont val="宋体"/>
        <family val="3"/>
        <charset val="134"/>
      </rPr>
      <t>自定义</t>
    </r>
    <r>
      <rPr>
        <sz val="10"/>
        <rFont val="Verdana"/>
        <family val="2"/>
      </rPr>
      <t xml:space="preserve"> 
</t>
    </r>
    <r>
      <rPr>
        <sz val="10"/>
        <rFont val="宋体"/>
        <family val="3"/>
        <charset val="134"/>
      </rPr>
      <t>对于</t>
    </r>
    <r>
      <rPr>
        <sz val="10"/>
        <rFont val="Verdana"/>
        <family val="2"/>
      </rPr>
      <t>“</t>
    </r>
    <r>
      <rPr>
        <sz val="10"/>
        <rFont val="宋体"/>
        <family val="3"/>
        <charset val="134"/>
      </rPr>
      <t>全公司</t>
    </r>
    <r>
      <rPr>
        <sz val="10"/>
        <rFont val="Verdana"/>
        <family val="2"/>
      </rPr>
      <t>”</t>
    </r>
    <r>
      <rPr>
        <sz val="10"/>
        <rFont val="宋体"/>
        <family val="3"/>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family val="3"/>
        <charset val="134"/>
      </rPr>
      <t>产品（或产品清单）</t>
    </r>
    <r>
      <rPr>
        <sz val="10"/>
        <rFont val="Verdana"/>
        <family val="2"/>
      </rPr>
      <t>”</t>
    </r>
    <r>
      <rPr>
        <sz val="10"/>
        <rFont val="宋体"/>
        <family val="3"/>
        <charset val="134"/>
      </rPr>
      <t>，将显示产品清单的工作表选项卡。如果选择了此范围，则必须在</t>
    </r>
    <r>
      <rPr>
        <sz val="10"/>
        <rFont val="Verdana"/>
        <family val="2"/>
      </rPr>
      <t>“</t>
    </r>
    <r>
      <rPr>
        <sz val="10"/>
        <rFont val="宋体"/>
        <family val="3"/>
        <charset val="134"/>
      </rPr>
      <t>产品清单</t>
    </r>
    <r>
      <rPr>
        <sz val="10"/>
        <rFont val="Verdana"/>
        <family val="2"/>
      </rPr>
      <t>”</t>
    </r>
    <r>
      <rPr>
        <sz val="10"/>
        <rFont val="宋体"/>
        <family val="3"/>
        <charset val="134"/>
      </rPr>
      <t>工作表的</t>
    </r>
    <r>
      <rPr>
        <sz val="10"/>
        <rFont val="Verdana"/>
        <family val="2"/>
      </rPr>
      <t xml:space="preserve"> B </t>
    </r>
    <r>
      <rPr>
        <sz val="10"/>
        <rFont val="宋体"/>
        <family val="3"/>
        <charset val="134"/>
      </rPr>
      <t>列中列出此申报范围涵盖的产品的制造商产品序号。可以选择是否在</t>
    </r>
    <r>
      <rPr>
        <sz val="10"/>
        <rFont val="Verdana"/>
        <family val="2"/>
      </rPr>
      <t>“</t>
    </r>
    <r>
      <rPr>
        <sz val="10"/>
        <rFont val="宋体"/>
        <family val="3"/>
        <charset val="134"/>
      </rPr>
      <t>产品清单</t>
    </r>
    <r>
      <rPr>
        <sz val="10"/>
        <rFont val="Verdana"/>
        <family val="2"/>
      </rPr>
      <t>”</t>
    </r>
    <r>
      <rPr>
        <sz val="10"/>
        <rFont val="宋体"/>
        <family val="3"/>
        <charset val="134"/>
      </rPr>
      <t>工作表的</t>
    </r>
    <r>
      <rPr>
        <sz val="10"/>
        <rFont val="Verdana"/>
        <family val="2"/>
      </rPr>
      <t xml:space="preserve"> C </t>
    </r>
    <r>
      <rPr>
        <sz val="10"/>
        <rFont val="宋体"/>
        <family val="3"/>
        <charset val="134"/>
      </rPr>
      <t>列中列出制造商产品名称。
如果选择范围为</t>
    </r>
    <r>
      <rPr>
        <sz val="10"/>
        <rFont val="Verdana"/>
        <family val="2"/>
      </rPr>
      <t>“</t>
    </r>
    <r>
      <rPr>
        <sz val="10"/>
        <rFont val="宋体"/>
        <family val="3"/>
        <charset val="134"/>
      </rPr>
      <t>自定义</t>
    </r>
    <r>
      <rPr>
        <sz val="10"/>
        <rFont val="Verdana"/>
        <family val="2"/>
      </rPr>
      <t>”</t>
    </r>
    <r>
      <rPr>
        <sz val="10"/>
        <rFont val="宋体"/>
        <family val="3"/>
        <charset val="134"/>
      </rPr>
      <t>，用户必须描述冲突金属披露适用的范围。用户可以通过</t>
    </r>
    <r>
      <rPr>
        <sz val="10"/>
        <rFont val="Verdana"/>
        <family val="2"/>
      </rPr>
      <t>“</t>
    </r>
    <r>
      <rPr>
        <sz val="10"/>
        <rFont val="宋体"/>
        <family val="3"/>
        <charset val="134"/>
      </rPr>
      <t>自定义分类</t>
    </r>
    <r>
      <rPr>
        <sz val="10"/>
        <rFont val="Verdana"/>
        <family val="2"/>
      </rPr>
      <t>”</t>
    </r>
    <r>
      <rPr>
        <sz val="10"/>
        <rFont val="宋体"/>
        <family val="3"/>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family val="3"/>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</si>
  <si>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</si>
  <si>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</si>
  <si>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</si>
  <si>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</si>
  <si>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</si>
  <si>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</si>
  <si>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</si>
  <si>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</si>
  <si>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</si>
  <si>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</si>
  <si>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</si>
  <si>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</si>
  <si>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</si>
  <si>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</si>
  <si>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</si>
  <si>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</si>
  <si>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각 3TG에 대해 답해야 합니다. 이 질문에 대한 유효한 답변은 "Yes" 또는 "No"입니다. 이 질문은 필수 사항입니다.</t>
    </r>
  </si>
  <si>
    <r>
      <rPr>
        <sz val="10"/>
        <rFont val="Verdana"/>
        <family val="2"/>
      </rPr>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 si les 3TG n’étaient pas indispensables pour la fonction, l’usage ou l’objet généralement attendus du produit. La réponse à cette question sert à exclure la contamination en quantité infime, notamment dans le cas de l’étain dans l’acier. 
Vous devez répondre à cette question pour chacun des 3TG. Les réponses valides à cette question sont « oui » ou « non ». Cette question est obligatoire.</t>
    </r>
  </si>
  <si>
    <r>
      <rPr>
        <sz val="10"/>
        <rFont val="Verdana"/>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deve ser respondida para cada mineral de conflito. Respostas válidas a esta pergunta são “Sim” ou “Não”. Esta pergunta é obrigatória.</t>
    </r>
  </si>
  <si>
    <r>
      <rPr>
        <sz val="10"/>
        <rFont val="Verdana"/>
        <family val="2"/>
      </rPr>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Se debe responder esta pregunta para cada 3TG.  Las respuestas válidas para esta pregunta son "sí" o "no".  Esta pregunta es obligatoria. </t>
    </r>
  </si>
  <si>
    <r>
      <rPr>
        <sz val="10"/>
        <rFont val="Verdana"/>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Questa domanda deve ottenere risposta per ciascun metallo di conflitto. Le risposte valide a questa domanda sono "sì" o "no". Questa domanda è obbligatoria.</t>
    </r>
  </si>
  <si>
    <r>
      <rPr>
        <sz val="10"/>
        <rFont val="Verdana"/>
        <family val="2"/>
      </rPr>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사라지는 경우, 이 질문에 대한 답변은 “No”입니다. 
이 질문은 각 3TG에 대해 답해야 합니다. 이 질문에 대한 유효한 답변은 "Yes" 또는 "No"입니다. 이 질문은 필수 사항입니다. 
</t>
    </r>
  </si>
  <si>
    <r>
      <rPr>
        <sz val="10"/>
        <rFont val="Verdana"/>
        <family val="2"/>
      </rPr>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la consommation de 3TG lors du processus de fabrication, mais une certaine quantité de 3TG demeure. Si les 3TG, qui sont utilisés pendant le processus de fabrication, venaient à être entièrement supprimés de ce processus, la réponse à cette question serait « non ». 
Vous devrez répondre à cette question pour chacun des 3TG. Les réponses valides à cette question sont « oui » ou « non ». Cette question est obligatoire. 
</t>
    </r>
  </si>
  <si>
    <r>
      <rPr>
        <sz val="10"/>
        <rFont val="Verdana"/>
        <family val="2"/>
      </rPr>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esperava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um conflito durante o processo de fabricação; no entanto, certa quantidade do mineral de conflito ainda permanece. Caso o mineral de conflito, que é utilizado durante o processo de fabricação, seja completamente removido durante o processo, a resposta a esta pergunta seria “Não”. 
Esta pergunta deve ser respondida para cada mineral de conflito. Respostas válidas a esta pergunta são “Sim” ou “Não”. Esta pergunta é obrigatória. 
</t>
    </r>
  </si>
  <si>
    <r>
      <rPr>
        <sz val="10"/>
        <rFont val="Verdana"/>
        <family val="2"/>
      </rPr>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3TG-Mineral beantwortet werden. Gültige Antworten auf diese Frage sind entweder „Ja“ oder „Nein“. Diese Frage muss beantwortet werden. 
</t>
    </r>
  </si>
  <si>
    <r>
      <rPr>
        <sz val="10"/>
        <rFont val="Verdana"/>
        <family val="2"/>
      </rPr>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r>
  </si>
  <si>
    <r>
      <rPr>
        <sz val="10"/>
        <rFont val="Verdana"/>
        <family val="2"/>
      </rPr>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Questa domanda deve ottenere risposta per ciascun metallo di conflitto. Le risposte valide a questa domanda sono "sì" o "no". Questa domanda è obbligatoria. 
</t>
    </r>
  </si>
  <si>
    <r>
      <rPr>
        <sz val="10"/>
        <rFont val="Verdana"/>
        <family val="2"/>
      </rPr>
      <t>3. 이것은 한 제품이나 여러 제품들에 포함된 3TG의 일정 부분이 콩고공화국이나 그 인접국가(적용 국가들)로부터 유래된 것인지에 대한 신고입니다. 
이 질문에 대한 답은 "Yes", "No", 또는 "Unknown"이 되어야 합니다.
이 질문은 만일 특정 광물에 대한 질문1 또는 질문2의 답이 그 광물에 대해 "Yes"라면 필수 사항입니다.</t>
    </r>
  </si>
  <si>
    <r>
      <rPr>
        <sz val="10"/>
        <rFont val="Verdana"/>
        <family val="2"/>
      </rPr>
      <t>3. Il s’agit d’une déclaration selon laquelle une partie des 3TG contenue dans un ou plusieurs produits provient de la RDC ou d’un pays limitrophe (les pays couverts). 
La réponse à cette question doit être « oui », « non » ou « inconnu ».
Cette question est obligatoire pour un métal donné si la réponse à la question 1 ou 2 est « oui » pour ce métal.</t>
    </r>
  </si>
  <si>
    <r>
      <rPr>
        <sz val="10"/>
        <rFont val="Verdana"/>
        <family val="2"/>
      </rPr>
      <t>3. Esta é uma declaração de que qualquer parte dos minerais de conflito contidos em um produto ou em vários produtos tem origem na RDC ou em países vizinhos (países abrangidos). 
A resposta a esta pergunta deverá ser “Sim”, “Não” ou “Desconhecido”.
Esta pergunta é obrigatória para um metal específico se a resposta às perguntas 1 ou 2 for “Sim” para esse metal.</t>
    </r>
  </si>
  <si>
    <r>
      <rPr>
        <sz val="10"/>
        <rFont val="Verdana"/>
        <family val="2"/>
      </rPr>
      <t>3. Dies ist eine Erklärung, dass jedwede Menge der in einem Produkt oder in mehreren Produkten enthaltenen 3TG-Mineralien aus der Demokratischen Republik Kongo oder benachbarten Ländern stammt (umfasste Länder). 
Die Antwort auf diese Frage muss „Ja“ oder „Nein“ oder „Unbekannt“ lauten.
Diese Frage muss für ein bestimmtes Metall beantwortet werden, wenn die Antwort auf Frage 1 oder 2 „Ja“ für dieses Metall lautet.</t>
    </r>
  </si>
  <si>
    <r>
      <rPr>
        <sz val="10"/>
        <rFont val="Verdana"/>
        <family val="2"/>
      </rPr>
      <t xml:space="preserve">3.  Ésta es una declaración que menciona que cualquier parte de los 3TG contenidos en un producto o múltiples productos se originan del DRC o de un país contiguo (países cubiertos).  
La respuesta a esta pregunta debe ser "sí", "no" o "desconocido". 
Esta pregunta es obligatoria para un metal específico si la respuesta a la Pregunta 1 o 2 es "sí" para ese metal. </t>
    </r>
  </si>
  <si>
    <r>
      <rPr>
        <sz val="10"/>
        <rFont val="Verdana"/>
        <family val="2"/>
      </rPr>
      <t>3. Questa è una dichiarazione che qualsiasi parte dei metalli di conflitto contenuta in uno o più prodotti deriva dalla DRC o paesi limitrofi (paesi interessati). 
La risposta a questa domanda può essere "sì", "no" o "sconosciuto".
Questa domanda è obbligatoria per un metallo specifico se la risposta alla domanda 1 o 2 è "Sì" relativamente a quel metallo.</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</si>
  <si>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</si>
  <si>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</si>
  <si>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</si>
  <si>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</si>
  <si>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</si>
  <si>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</si>
  <si>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</si>
  <si>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</si>
  <si>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</si>
  <si>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</si>
  <si>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</si>
  <si>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</si>
  <si>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</si>
  <si>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</si>
  <si>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</si>
  <si>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</si>
  <si>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</si>
  <si>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</si>
  <si>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</si>
  <si>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</si>
  <si>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</si>
  <si>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</si>
  <si>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</si>
  <si>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</si>
  <si>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</si>
  <si>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</si>
  <si>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</si>
  <si>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</si>
  <si>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</si>
  <si>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</si>
  <si>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</si>
  <si>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</si>
  <si>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7. 제련소 주소 - 제련소가 위치하고 있는 주소를 기입하십시오. 이 필드는 선택사항입니다.</t>
    </r>
  </si>
  <si>
    <r>
      <rPr>
        <sz val="10"/>
        <rFont val="Verdana"/>
        <family val="2"/>
      </rPr>
      <t>7. Rue de la fonderie – indique le nom de la rue où est située la fonderie. Ce champ est facultatif.</t>
    </r>
  </si>
  <si>
    <r>
      <rPr>
        <sz val="10"/>
        <rFont val="Verdana"/>
        <family val="2"/>
      </rPr>
      <t>7. Endereço da fundição – Forneça o nome da rua em que se localiza a fundição. Este campo é opcional.</t>
    </r>
  </si>
  <si>
    <r>
      <rPr>
        <sz val="10"/>
        <rFont val="Verdana"/>
        <family val="2"/>
      </rPr>
      <t>7. Straße des Schmelzofens – Geben Sie den Straßennamen des Schmelzofenstandortes an. Das Ausfüllen dieses Feldes ist freiwillig.</t>
    </r>
  </si>
  <si>
    <r>
      <rPr>
        <sz val="10"/>
        <rFont val="Verdana"/>
        <family val="2"/>
      </rPr>
      <t xml:space="preserve">7. Calle del fundidor: informe el nombre de la calle en la que se encuentra ubicado el fundidor.  El campo es opcional. </t>
    </r>
  </si>
  <si>
    <r>
      <rPr>
        <sz val="10"/>
        <rFont val="Verdana"/>
        <family val="2"/>
      </rPr>
      <t>7. Sedi delle Fonderie: strada/via - Inserire la via/strada della fonderia che esegue il trattamento di trasformazione dei minerali che entrano nella vostra catena di fornitura. Questo campo è facoltativo.</t>
    </r>
  </si>
  <si>
    <r>
      <rPr>
        <sz val="10"/>
        <rFont val="Verdana"/>
        <family val="2"/>
      </rPr>
      <t>8. 제련소 시 – 제련소가 위치하고 있는 도시를 기입하십시오. 이 필드는 선택사항입니다.</t>
    </r>
  </si>
  <si>
    <r>
      <rPr>
        <sz val="10"/>
        <rFont val="Verdana"/>
        <family val="2"/>
      </rPr>
      <t>8. Ville de la fonderie – indique le nom de la ville où est située la fonderie. Ce champ est facultatif.</t>
    </r>
  </si>
  <si>
    <r>
      <rPr>
        <sz val="10"/>
        <rFont val="Verdana"/>
        <family val="2"/>
      </rPr>
      <t>8. Cidade da fundição – Forneça o nome da cidade em que se localiza a fundição. Este campo é opcional.</t>
    </r>
  </si>
  <si>
    <r>
      <rPr>
        <sz val="10"/>
        <rFont val="Verdana"/>
        <family val="2"/>
      </rPr>
      <t>8. Ort des Schmelzofens – Geben Sie den Namen des Ortes an, in dem sich der Schmelzofen befindet. Das Ausfüllen dieses Feldes ist freiwillig.</t>
    </r>
  </si>
  <si>
    <r>
      <rPr>
        <sz val="10"/>
        <rFont val="Verdana"/>
        <family val="2"/>
      </rPr>
      <t>8.  Ciudad del fundidor: informe el nombre de la ciudad en la que se ubica el fundidor.  El campo es opcional.</t>
    </r>
  </si>
  <si>
    <r>
      <rPr>
        <sz val="10"/>
        <rFont val="Verdana"/>
        <family val="2"/>
      </rPr>
      <t>8. Sedi delle Fonderie: città - inserire la città della fonderia che esegue il trattamento di trasformazione dei minerali che entrano nella vostra catena di fornitura.  Questo campo è facoltativo.</t>
    </r>
  </si>
  <si>
    <r>
      <rPr>
        <sz val="10"/>
        <rFont val="Verdana"/>
        <family val="2"/>
      </rPr>
      <t>9. 제련소 위치: 도/주, 해당할 경우 – 제련소가 위치하고 있는 도나 주를 기입하십시오. 이 필드는 선택사항입니다.</t>
    </r>
  </si>
  <si>
    <r>
      <rPr>
        <sz val="10"/>
        <rFont val="Verdana"/>
        <family val="2"/>
      </rPr>
      <t>9. Emplacement de la fonderie : État/province, le cas échéant – indique l’État ou la province où est située la fonderie. Ce champ est facultatif.</t>
    </r>
  </si>
  <si>
    <r>
      <rPr>
        <sz val="10"/>
        <rFont val="Verdana"/>
        <family val="2"/>
      </rPr>
      <t>9. Localização da fundição: Estado ou província, quando aplicável – Forneça o estado ou a província em que se localiza a fundição. Este campo é opcional.</t>
    </r>
  </si>
  <si>
    <r>
      <rPr>
        <sz val="10"/>
        <rFont val="Verdana"/>
        <family val="2"/>
      </rPr>
      <t>9.  Ubicación del fundidor:  Estado/Provincia, si corresponde: informe el estado o provincia en el que se ubica el fundidor.  El campo es opcional.</t>
    </r>
  </si>
  <si>
    <r>
      <rPr>
        <sz val="10"/>
        <rFont val="Verdana"/>
        <family val="2"/>
      </rPr>
      <t>9. Sedi delle Fonderie:  Stato (se applicabile) - inserire lo Stato della fonderia che esegue il trattamento di trasformazione dei minerali che entrano nella vostra catena di fornitura. Questo campo è facoltativo.</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</si>
  <si>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</si>
  <si>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</si>
  <si>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</si>
  <si>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</si>
  <si>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</si>
  <si>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</si>
  <si>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</si>
  <si>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</si>
  <si>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</si>
  <si>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</si>
  <si>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</si>
  <si>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</si>
  <si>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</si>
  <si>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</si>
  <si>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</si>
  <si>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</si>
  <si>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</si>
  <si>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</si>
  <si>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</si>
  <si>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</si>
  <si>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</si>
  <si>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</si>
  <si>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</si>
  <si>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</si>
  <si>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</si>
  <si>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</si>
  <si>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</si>
  <si>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</si>
  <si>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</si>
  <si>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</si>
  <si>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</si>
  <si>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</si>
  <si>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</si>
  <si>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</si>
  <si>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</si>
  <si>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</si>
  <si>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</si>
  <si>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</si>
  <si>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</si>
  <si>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</si>
  <si>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</si>
  <si>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</si>
  <si>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</si>
  <si>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</si>
  <si>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</si>
  <si>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</si>
  <si>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</si>
  <si>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</si>
  <si>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3) Do any of the smelters in your supply chain source the 3TG from the covered countries? </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</si>
  <si>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</si>
  <si>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</si>
  <si>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</si>
  <si>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</si>
  <si>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</si>
  <si>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</si>
  <si>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</si>
  <si>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</si>
  <si>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3) 공급망의 제련소가 적용국가로부터 3TG를 받고 있습니까?</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</si>
  <si>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</si>
  <si>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</si>
  <si>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</si>
  <si>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3) Est-ce qu’une des fonderies de votre chaîne d’approvisionnement s’approvisionne en 3TG à partir des pays couverts ? </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</si>
  <si>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</si>
  <si>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</si>
  <si>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</si>
  <si>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</si>
  <si>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3) Algum dos minerais de conflito tem origem nos países abrangidos?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</si>
  <si>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</si>
  <si>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</si>
  <si>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</si>
  <si>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</si>
  <si>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3) ¿Alguno de los fundidores en la cadena de suministro provee el 3TG de los países cubiertos?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</si>
  <si>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</si>
  <si>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</si>
  <si>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</si>
  <si>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</si>
  <si>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3) Alcuni dei metalli di conflitto originano da paesi coinvolti (covered countries)?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</si>
  <si>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</si>
  <si>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</si>
  <si>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</si>
  <si>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</si>
  <si>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</si>
  <si>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</si>
  <si>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</si>
  <si>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</si>
  <si>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</si>
  <si>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</si>
  <si>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</si>
  <si>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</si>
  <si>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</si>
  <si>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</si>
  <si>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</si>
  <si>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</si>
  <si>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</si>
  <si>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</si>
  <si>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</si>
  <si>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</si>
  <si>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</si>
  <si>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</si>
  <si>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</si>
  <si>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</si>
  <si>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</si>
  <si>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</si>
  <si>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</si>
  <si>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</si>
  <si>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</si>
  <si>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</si>
  <si>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</si>
  <si>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</si>
  <si>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</si>
  <si>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</si>
  <si>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</si>
  <si>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</si>
  <si>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</si>
  <si>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</si>
  <si>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an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</si>
  <si>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</si>
  <si>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</si>
  <si>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</si>
  <si>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</si>
  <si>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</si>
  <si>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</si>
  <si>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</si>
  <si>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</si>
  <si>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</si>
  <si>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</si>
  <si>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</si>
  <si>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</si>
  <si>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</si>
  <si>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</si>
  <si>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</si>
  <si>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</si>
  <si>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</si>
  <si>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</si>
  <si>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</si>
  <si>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</si>
  <si>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</si>
  <si>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</si>
  <si>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</si>
  <si>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</si>
  <si>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</si>
  <si>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</si>
  <si>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</si>
  <si>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</si>
  <si>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</si>
  <si>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</si>
  <si>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</si>
  <si>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</si>
  <si>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</si>
  <si>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</si>
  <si>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</si>
  <si>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</si>
  <si>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</si>
  <si>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</si>
  <si>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</si>
  <si>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</si>
  <si>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</si>
  <si>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</si>
  <si>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</si>
  <si>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</si>
  <si>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</si>
  <si>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</si>
  <si>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</si>
  <si>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</si>
  <si>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</si>
  <si>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</si>
  <si>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</si>
  <si>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</si>
  <si>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</si>
  <si>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</si>
  <si>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</si>
  <si>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</si>
  <si>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</si>
  <si>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</si>
  <si>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</si>
  <si>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</si>
  <si>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</si>
  <si>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</si>
  <si>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</si>
  <si>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</si>
  <si>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</si>
  <si>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</si>
  <si>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</si>
  <si>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</si>
  <si>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</si>
  <si>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</si>
  <si>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</si>
  <si>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</si>
  <si>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</si>
  <si>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</si>
  <si>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</si>
  <si>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</si>
  <si>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</si>
  <si>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</si>
  <si>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</si>
  <si>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</si>
  <si>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</si>
  <si>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</si>
  <si>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</si>
  <si>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</si>
  <si>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</si>
  <si>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</si>
  <si>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</si>
  <si>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</si>
  <si>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</si>
  <si>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</si>
  <si>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</si>
  <si>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</si>
  <si>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</si>
  <si>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</si>
  <si>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</si>
  <si>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</si>
  <si>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</si>
  <si>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</si>
  <si>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</si>
  <si>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</si>
  <si>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</si>
  <si>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</si>
  <si>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</si>
  <si>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</si>
  <si>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</si>
  <si>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</si>
  <si>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</si>
  <si>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</si>
  <si>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</si>
  <si>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</si>
  <si>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</si>
  <si>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</si>
  <si>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</si>
  <si>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</si>
  <si>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</si>
  <si>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</si>
  <si>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</si>
  <si>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</si>
  <si>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</si>
  <si>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</si>
  <si>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</si>
  <si>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</si>
  <si>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Aktyubinsk</t>
  </si>
  <si>
    <t>Aktobe</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</si>
  <si>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</si>
  <si>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</si>
  <si>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</si>
  <si>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</si>
  <si>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</si>
  <si>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</si>
  <si>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</si>
  <si>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</si>
  <si>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</si>
  <si>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</si>
  <si>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</si>
  <si>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</si>
  <si>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</si>
  <si>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</si>
  <si>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</si>
  <si>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</si>
  <si>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</si>
  <si>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</si>
  <si>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</si>
  <si>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Malate</t>
  </si>
  <si>
    <t>Manila</t>
  </si>
  <si>
    <t>Keltern</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</si>
  <si>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</si>
  <si>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</si>
  <si>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</si>
  <si>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</si>
  <si>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</si>
  <si>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</si>
  <si>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</si>
  <si>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</si>
  <si>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</si>
  <si>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</si>
  <si>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</si>
  <si>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</si>
  <si>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</si>
  <si>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</si>
  <si>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</si>
  <si>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</si>
  <si>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</si>
  <si>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</si>
  <si>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</si>
  <si>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</si>
  <si>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</si>
  <si>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</si>
  <si>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</si>
  <si>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</si>
  <si>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</si>
  <si>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</si>
  <si>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</si>
  <si>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</si>
  <si>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</si>
  <si>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</si>
  <si>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</si>
  <si>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Novosibersk Province</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</si>
  <si>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</si>
  <si>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</si>
  <si>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</si>
  <si>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</si>
  <si>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</si>
  <si>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</si>
  <si>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</si>
  <si>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</si>
  <si>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</si>
  <si>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</si>
  <si>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</si>
  <si>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</si>
  <si>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</si>
  <si>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</si>
  <si>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</si>
  <si>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</si>
  <si>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</si>
  <si>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</si>
  <si>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</si>
  <si>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</si>
  <si>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</si>
  <si>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</si>
  <si>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</si>
  <si>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</si>
  <si>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</si>
  <si>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</si>
  <si>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</si>
  <si>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</si>
  <si>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</si>
  <si>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</si>
  <si>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</si>
  <si>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</si>
  <si>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Ōita</t>
  </si>
  <si>
    <t>Kazzinc</t>
  </si>
  <si>
    <t>Ust-Kamenogorsk</t>
  </si>
  <si>
    <t>East Kazakhstan Province of Kazakhstan</t>
  </si>
  <si>
    <t>Magna</t>
  </si>
  <si>
    <t>Sayama</t>
  </si>
  <si>
    <t>Kojima Kagaku Yakuhin Co., Ltd</t>
  </si>
  <si>
    <t>Nonhyeon</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</si>
  <si>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</si>
  <si>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</si>
  <si>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</si>
  <si>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</si>
  <si>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</si>
  <si>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</si>
  <si>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</si>
  <si>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</si>
  <si>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</si>
  <si>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</si>
  <si>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</si>
  <si>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</si>
  <si>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</si>
  <si>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</si>
  <si>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</si>
  <si>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</si>
  <si>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</si>
  <si>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</si>
  <si>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</si>
  <si>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</si>
  <si>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</si>
  <si>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</si>
  <si>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</si>
  <si>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</si>
  <si>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</si>
  <si>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</si>
  <si>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</si>
  <si>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</si>
  <si>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</si>
  <si>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</si>
  <si>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</si>
  <si>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</si>
  <si>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Moscow</t>
  </si>
  <si>
    <t>Bahçelievler</t>
  </si>
  <si>
    <t>Navoi</t>
  </si>
  <si>
    <t>Navoi Province</t>
  </si>
  <si>
    <t>Noda</t>
  </si>
  <si>
    <t>Chiba</t>
  </si>
  <si>
    <t>Jackson</t>
  </si>
  <si>
    <t>Ohio</t>
  </si>
  <si>
    <t>Nara-shi</t>
  </si>
  <si>
    <t>Nara</t>
  </si>
  <si>
    <t>Krasnoyarsk</t>
  </si>
  <si>
    <t>Krasnoyarsk Krai</t>
  </si>
  <si>
    <t>OJSC Krastsvetmet</t>
  </si>
  <si>
    <t>Khasyn Settlement</t>
  </si>
  <si>
    <t>Magadan Region</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</si>
  <si>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</si>
  <si>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</si>
  <si>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</si>
  <si>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</si>
  <si>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</si>
  <si>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</si>
  <si>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</si>
  <si>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</si>
  <si>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</si>
  <si>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</si>
  <si>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</si>
  <si>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</si>
  <si>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</si>
  <si>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</si>
  <si>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</si>
  <si>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</si>
  <si>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</si>
  <si>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</si>
  <si>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</si>
  <si>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</si>
  <si>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</si>
  <si>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</si>
  <si>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</si>
  <si>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</si>
  <si>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</si>
  <si>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</si>
  <si>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</si>
  <si>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</si>
  <si>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</si>
  <si>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</si>
  <si>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</si>
  <si>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</si>
  <si>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</si>
  <si>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</si>
  <si>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</si>
  <si>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</si>
  <si>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</si>
  <si>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</si>
  <si>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</si>
  <si>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</si>
  <si>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</si>
  <si>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</si>
  <si>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</si>
  <si>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</si>
  <si>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</si>
  <si>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</si>
  <si>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</si>
  <si>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</si>
  <si>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</si>
  <si>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</si>
  <si>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</si>
  <si>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</si>
  <si>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</si>
  <si>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</si>
  <si>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</si>
  <si>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</si>
  <si>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</si>
  <si>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</si>
  <si>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</si>
  <si>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</si>
  <si>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</si>
  <si>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</si>
  <si>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</si>
  <si>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</si>
  <si>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</si>
  <si>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</si>
  <si>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</si>
  <si>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</si>
  <si>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</si>
  <si>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</si>
  <si>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</si>
  <si>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</si>
  <si>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</si>
  <si>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</si>
  <si>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</si>
  <si>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</si>
  <si>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</si>
  <si>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Faggi Enrico S.p.A.</t>
  </si>
  <si>
    <t>CID002355</t>
  </si>
  <si>
    <t>Sesto Fiorentino</t>
  </si>
  <si>
    <t>Florence</t>
  </si>
  <si>
    <t>Geib Refining Corporation</t>
  </si>
  <si>
    <t>CID002459</t>
  </si>
  <si>
    <t>Rhose Island</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</si>
  <si>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</si>
  <si>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</si>
  <si>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</si>
  <si>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</si>
  <si>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</si>
  <si>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</si>
  <si>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</si>
  <si>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</si>
  <si>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</si>
  <si>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</si>
  <si>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</si>
  <si>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</si>
  <si>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</si>
  <si>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</si>
  <si>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</si>
  <si>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</si>
  <si>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</si>
  <si>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</si>
  <si>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</si>
  <si>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</si>
  <si>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</si>
  <si>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</si>
  <si>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</si>
  <si>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Korea Zinc Co. Ltd.</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</si>
  <si>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</si>
  <si>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</si>
  <si>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</si>
  <si>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</si>
  <si>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</si>
  <si>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</si>
  <si>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</si>
  <si>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</si>
  <si>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</si>
  <si>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</si>
  <si>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</si>
  <si>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</si>
  <si>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</si>
  <si>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</si>
  <si>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</si>
  <si>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</si>
  <si>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</si>
  <si>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</si>
  <si>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</si>
  <si>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</si>
  <si>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</si>
  <si>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</si>
  <si>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</si>
  <si>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</si>
  <si>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</si>
  <si>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</si>
  <si>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</si>
  <si>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</si>
  <si>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</si>
  <si>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</si>
  <si>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</si>
  <si>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</si>
  <si>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</si>
  <si>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</si>
  <si>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</si>
  <si>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</si>
  <si>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</si>
  <si>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</si>
  <si>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</si>
  <si>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</si>
  <si>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Kaili</t>
  </si>
  <si>
    <t>Guizhou</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</si>
  <si>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</si>
  <si>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</si>
  <si>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</si>
  <si>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</si>
  <si>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</si>
  <si>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</si>
  <si>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</si>
  <si>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</si>
  <si>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</si>
  <si>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</si>
  <si>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</si>
  <si>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</si>
  <si>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</si>
  <si>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</si>
  <si>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</si>
  <si>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</si>
  <si>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</si>
  <si>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</si>
  <si>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</si>
  <si>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</si>
  <si>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</si>
  <si>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</si>
  <si>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</si>
  <si>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</si>
  <si>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</si>
  <si>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</si>
  <si>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</si>
  <si>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</si>
  <si>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</si>
  <si>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</si>
  <si>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</si>
  <si>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</si>
  <si>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</si>
  <si>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</si>
  <si>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</si>
  <si>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</si>
  <si>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</si>
  <si>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</si>
  <si>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</si>
  <si>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</si>
  <si>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</si>
  <si>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</si>
  <si>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</si>
  <si>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</si>
  <si>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</si>
  <si>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Coopermetal</t>
  </si>
  <si>
    <t>Sungailiat</t>
  </si>
  <si>
    <t>Bangka</t>
  </si>
  <si>
    <t>Kabupaten</t>
  </si>
  <si>
    <t>Pangkalan</t>
  </si>
  <si>
    <t>Pangkal Pinang</t>
  </si>
  <si>
    <t>Dowa Metaltech Co., Ltd.</t>
  </si>
  <si>
    <t>Oruro</t>
  </si>
  <si>
    <t>Cercado</t>
  </si>
  <si>
    <t>Rondônia</t>
  </si>
  <si>
    <t>Feinhütte Halsbrücke GmbH</t>
  </si>
  <si>
    <t>CID000466</t>
  </si>
  <si>
    <t>Halsbrücke</t>
  </si>
  <si>
    <t>Saxony</t>
  </si>
  <si>
    <t>Chmielów</t>
  </si>
  <si>
    <t>Subcarpathian Voivodeship</t>
  </si>
  <si>
    <t>Geiju</t>
  </si>
  <si>
    <t>Gejiu Zili Mining And Metallurgy Co., Ltd.</t>
  </si>
  <si>
    <t>Gejiu</t>
  </si>
  <si>
    <t>Yunnan Geiju Zili Metallurgy Co. Ltd.</t>
  </si>
  <si>
    <t>Ganzhou</t>
  </si>
  <si>
    <t>Putuo District</t>
  </si>
  <si>
    <t>Shanghai</t>
  </si>
  <si>
    <t>Linwu Xianggui Ore Smelting Co., Ltd.</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</si>
  <si>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</si>
  <si>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</si>
  <si>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</si>
  <si>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</si>
  <si>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</si>
  <si>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</si>
  <si>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</si>
  <si>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</si>
  <si>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</si>
  <si>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</si>
  <si>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</si>
  <si>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</si>
  <si>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</si>
  <si>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</si>
  <si>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</si>
  <si>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</si>
  <si>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</si>
  <si>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</si>
  <si>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Novosibirsk Processing Plant Ltd.</t>
  </si>
  <si>
    <t>Novosibirsk Oblast</t>
  </si>
  <si>
    <t>Sriracha</t>
  </si>
  <si>
    <t>Chonburi</t>
  </si>
  <si>
    <t>Operaciones Metalurgical S.A.</t>
  </si>
  <si>
    <t>Lintang</t>
  </si>
  <si>
    <t>Kepulauan</t>
  </si>
  <si>
    <t>BML</t>
  </si>
  <si>
    <t>PT Indra Eramult Logam Industri</t>
  </si>
  <si>
    <t>Kabupaten Karimun</t>
  </si>
  <si>
    <t>Kepulauan Riau</t>
  </si>
  <si>
    <t>Karimun</t>
  </si>
  <si>
    <t>Brand RBT</t>
  </si>
  <si>
    <t>West Java</t>
  </si>
  <si>
    <t>PT Timah (Persero) Tbk Kundur</t>
  </si>
  <si>
    <t>Kundur</t>
  </si>
  <si>
    <t>Riau Islands</t>
  </si>
  <si>
    <t>Kundur Smelter</t>
  </si>
  <si>
    <t>Mentok</t>
  </si>
  <si>
    <t>Unit Metalurgi PT Timah Persero TBK</t>
  </si>
  <si>
    <t>Longtan Shiang Taoyuang</t>
  </si>
  <si>
    <t>Bebedouro</t>
  </si>
  <si>
    <t>Sao Paulo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</si>
  <si>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</si>
  <si>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</si>
  <si>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</si>
  <si>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</si>
  <si>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</si>
  <si>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</si>
  <si>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</si>
  <si>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</si>
  <si>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</si>
  <si>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</si>
  <si>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</si>
  <si>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</si>
  <si>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</si>
  <si>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</si>
  <si>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Yunnan Tin Group (Holding) Company Limited</t>
  </si>
  <si>
    <t>Bogor</t>
  </si>
  <si>
    <t>Topang Island</t>
  </si>
  <si>
    <t>Riau Province</t>
  </si>
  <si>
    <t>Bankga</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</si>
  <si>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</si>
  <si>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</si>
  <si>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</si>
  <si>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</si>
  <si>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</si>
  <si>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</si>
  <si>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</si>
  <si>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</si>
  <si>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</si>
  <si>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</si>
  <si>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</si>
  <si>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</si>
  <si>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</si>
  <si>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</si>
  <si>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</si>
  <si>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</si>
  <si>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</si>
  <si>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</si>
  <si>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</si>
  <si>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</si>
  <si>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</si>
  <si>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</si>
  <si>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</si>
  <si>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</si>
  <si>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</si>
  <si>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</si>
  <si>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</si>
  <si>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</si>
  <si>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</si>
  <si>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</si>
  <si>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</si>
  <si>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</si>
  <si>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</si>
  <si>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</si>
  <si>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</si>
  <si>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</si>
  <si>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</si>
  <si>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</si>
  <si>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</si>
  <si>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Halong</t>
  </si>
  <si>
    <t>St. Martin i-S</t>
  </si>
  <si>
    <t>WBH,Wolfram [Austria]</t>
  </si>
  <si>
    <t>WBH</t>
  </si>
  <si>
    <t>Haicang</t>
  </si>
  <si>
    <t>Xiamen</t>
  </si>
  <si>
    <t>Shaoguan</t>
  </si>
  <si>
    <t>Shaoguan Xinhai Rendan Tungsten Industry Co. Ltd</t>
  </si>
  <si>
    <t>Gao'an</t>
  </si>
  <si>
    <t>Tonggu</t>
  </si>
  <si>
    <t>Nanfeng Xiaozhai</t>
  </si>
  <si>
    <t>Xiamen H.C.</t>
  </si>
  <si>
    <t>Xiushui</t>
  </si>
  <si>
    <t>Vinh Bao District</t>
  </si>
  <si>
    <t>Hai Phong</t>
  </si>
  <si>
    <t>Dayu Country</t>
  </si>
  <si>
    <t>Ganxian</t>
  </si>
  <si>
    <t>Pobedit, JSC</t>
  </si>
  <si>
    <t>CID002532</t>
  </si>
  <si>
    <t>Vladikavkaz</t>
  </si>
  <si>
    <t>Republic of North Ossetia-Alania</t>
  </si>
  <si>
    <t xml:space="preserve"> Xiushui</t>
  </si>
  <si>
    <t>Huyen Nhon Trach</t>
  </si>
  <si>
    <t>Tinh Dong Nai</t>
  </si>
  <si>
    <t>Dai Tu</t>
  </si>
  <si>
    <t>Thai Nguyen</t>
  </si>
  <si>
    <t>Hunan Chuangda Vanadium Tungsten Co., Ltd. Yanglin</t>
  </si>
  <si>
    <t>CID002578</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</si>
  <si>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</si>
  <si>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</si>
  <si>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</si>
  <si>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</si>
  <si>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</si>
  <si>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</si>
  <si>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</si>
  <si>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</si>
  <si>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</si>
  <si>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</si>
  <si>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</si>
  <si>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</si>
  <si>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</si>
  <si>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</si>
  <si>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</si>
  <si>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</si>
  <si>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</si>
  <si>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</si>
  <si>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</si>
  <si>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</si>
  <si>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</si>
  <si>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</si>
  <si>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</si>
  <si>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</si>
  <si>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</si>
  <si>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</si>
  <si>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</si>
  <si>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</si>
  <si>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</si>
  <si>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</si>
  <si>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</si>
  <si>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</si>
  <si>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</si>
  <si>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</si>
  <si>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</si>
  <si>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</si>
  <si>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</si>
  <si>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</si>
  <si>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</si>
  <si>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</si>
  <si>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</si>
  <si>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</si>
  <si>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</si>
  <si>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</si>
  <si>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</si>
  <si>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</si>
  <si>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</si>
  <si>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</si>
  <si>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</si>
  <si>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</si>
  <si>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</si>
  <si>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</si>
  <si>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</si>
  <si>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</si>
  <si>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</si>
  <si>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</si>
  <si>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</si>
  <si>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</si>
  <si>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</si>
  <si>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</si>
  <si>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</si>
  <si>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</si>
  <si>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</si>
  <si>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</si>
  <si>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</si>
  <si>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r>
      <rPr>
        <sz val="10"/>
        <rFont val="Verdana"/>
        <family val="2"/>
      </rPr>
      <t>以下目录是截止此模板发布时 CFSI 的最新冶炼厂名称/别名信息。冶炼厂存在于此目录中不保证它就是不使用冲突矿产冶炼厂计划内的目前有效或合规的冶炼厂。
有关有效或合规的标准冶炼厂名称的最新、准确目录，请访问 CFSI 网站 www.conflictfreesourcing.org。
B 列是符合 CFSP 审核计划条件的已知冶炼厂的常用名称目录。
C 列是正式标准冶炼厂名称目录，被认为是合格冶炼厂的法定名称。大多数冶炼厂的这两列具有相同的条目，然而，如果常用名称与标准名称不同，则在 B 列中注明这种变化。</t>
    </r>
  </si>
  <si>
    <r>
      <rPr>
        <sz val="10"/>
        <rFont val="Verdana"/>
        <family val="2"/>
      </rPr>
      <t xml:space="preserve">다음 목록은 이 템플릿의 발표 시점을 기준으로 한 CFSI의 최신 제련소 명칭/별칭 정보를 나타냅니다.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CFSI 웹사이트인 www.conflictfreesourcing.org를 참조하십시오. 
B열은 CFSP 감사 프로그램에 적격한 제련소들의 일반적으로 사용되는 명칭의 목록입니다. 
C열은 공식적인 제련소 표준 명칭의 목록으로, 자격을 갖춘 제련소의 법적 명칭이 되기도 합니다. 대다수 제련소들의 명칭이 두 열 모두 동일하지만, 일반 명칭이 표준 명칭과 다를 경우, 다른 명칭이 B열에 표기됩니다. </t>
    </r>
  </si>
  <si>
    <r>
      <rPr>
        <sz val="10"/>
        <rFont val="Verdana"/>
        <family val="2"/>
      </rPr>
      <t xml:space="preserve">La liste suivante représente les dernières informations de la CFSI relatives au nom/pseudonyme de la fonderie au moment de la publication de ce modèle. La présence d’une fonderie sur cette liste ne garantit PAS que celle-ci est actuellement active ou conforme au Programme des fonderies hors conflits (Conflict Free Smelter Program, CFSP). 
Veuillez consulter le site Web de la CFSI, www.conflictfreesourcing.org, pour obtenir la liste actualisée et précise de noms des fonderies standard qui sont actives ou conformes. 
La colonne B est une liste de noms couramment  utilisés pour les fonderies connues qui sont éligibles pour le programme d'audit du CFSP.
La colonne C est la liste des noms officiels des fonderies standard, entendus comme noms légaux des fonderies éligibles. La plupart des fonderies auront la même entrée pour les deux colonnes ; toutefois, si le nom courant est différent du nom standard, la variation est indiquée dans la colonne B. </t>
    </r>
  </si>
  <si>
    <r>
      <rPr>
        <sz val="10"/>
        <rFont val="Verdana"/>
        <family val="2"/>
      </rPr>
      <t xml:space="preserve">A lista a seguir representa as informações mais recentes da CFSI sobre nomes/pseudônimos de fundições no momento da divulgação deste modelo. A presença de uma fundição aqui NÃO é uma garantia de que ela esteja atualmente Ativa ou Em conformidade com o Programa de fundições livres de conflito (Conflict-Free Smelter Program, CFSP). 
Consulte o site da CFSI, www.conflictfreesourcing.org, para obter a versão mais recente e precisa da lista de nomes padrão de fundições que estão Ativas ou em Conformidade. 
A coluna B é uma lista de nomes comumente usados para fundições conhecidas que são elegíveis para o programa de auditoria do CFSP.
A coluna C é a lista dos nomes padrão oficiais de fundições, entendidos como sendo as razões sociais das fundições elegíveis. A maioria das fundições terá a mesma entrada em ambas as colunas; no entanto, se o nome comum variar em relação ao nome padrão, a variação será indicada na coluna B. </t>
    </r>
  </si>
  <si>
    <r>
      <rPr>
        <sz val="10"/>
        <rFont val="Verdana"/>
        <family val="2"/>
      </rPr>
      <t xml:space="preserve">Die folgende Liste beruht auf den neuesten Informationen der CFSI über Schmelzofennamen / Aliasnamen zum Zeitpunkt der Veröffentlichung dieser Vorlage. Die Aufführung eines Schmelzofens in dieser Erklärung ist KEINE Garantie, dass dieser gegenwärtig aktiv ist oder das Conflict-Free Smelter Program einhält. 
Bitte entnehmen Sie der CFSI-Website www.conflictfreesourcing.org die aktuellste und genaueste Liste der Namen von aktiven oder mit dem CFSP konformen Standardschmelzöfen. 
Spalte B ist eine Liste mit häufig verwendeten Namen von Schmelzöfen, die für das Prüfungsprogramm von CFSP in Betracht kommen.
Spalte C ist die Liste mit den Namen der offiziellen Standardschmelzöfen, von denen angenommen wird, dass sie die gesetzlichen Namen der in Betracht kommenden Schmelzöfen sind. Die Mehrheit von Schmelzöfen hat dieselbe Eintragung für beide Spalten. Wenn jedoch der übliche Name vom Standardnamen abweicht, wird die Abweichung in Spalte B vermerkt. </t>
    </r>
  </si>
  <si>
    <r>
      <rPr>
        <sz val="10"/>
        <rFont val="Verdana"/>
        <family val="2"/>
      </rPr>
      <t xml:space="preserve">La siguiente lista representa la información del nombre/alias del último fundidor a partir de la publicación de la plantilla. La presencia del fundidor en esta parte NO es una garantía de que actualmente se encuentre activo o en cumplimiento con el Programa de Fundidores Sin Conflictos. 
Consulte la página de Internet de la CFSI, www.conflictfreesourcing.org, para obtener la lista más actual y exacta de los nombres de fundidores estándares que se encuentran activos o en cumplimiento. 
La Columna B es una lista de nombres comúnmente utilizados para los fundidores conocidos que son elegibles para el programa de auditoría CFSP.
La Columna C es una lista de los nombres de los fundidores estándares oficiales, entendiéndose que son los nombres legales de los fundidores elegibles. La mayoría de los fundidores tendrán la misma entrada en ambas columnas; sin embargo, si el nombre común varía del nombre estándar, la variación se observa en la Columna B. </t>
    </r>
  </si>
  <si>
    <r>
      <rPr>
        <sz val="10"/>
        <rFont val="Verdana"/>
        <family val="2"/>
      </rPr>
      <t xml:space="preserve">La seguente lista riporta i dati più recenti relativamente a nomi/alias di CFSI a partire dalla pubblicazione di questo modello.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La colonna B è una lista di nomi usati comunemente per fonderie conosciute che sono idonee al programma di verifica del CFSP.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 </t>
    </r>
  </si>
  <si>
    <t>首先：
步骤 1. 选择 B 列中的金属
步骤 2. 从 C 列的下拉菜单中选择（错误组合将触发红色）
步骤 3. 如果从下拉菜单中选择“未列出的冶炼厂”，则填写 D 列和 E 列
步骤 4. 在 H 列至 P 列中输入所有可用冶炼厂信息
必填字段以星号 (*) 表示。</t>
  </si>
  <si>
    <t>開始するには
ステップ1. B列で金属を選択
ステップ2. C列のドロップダウンメニューで精錬業者名を選択 （間違った組み合わせの場合は赤色表示）
ステップ3. ドロップダウンメニューで「精錬業者が表に含まれていない（Smelter Not Listed）」を選択した場合は、D列とE列に記入
ステップ4. H列～P列に入手可能な全ての精錬業者情報を記入
必須項目は（*）で表示。</t>
  </si>
  <si>
    <t xml:space="preserve">시작하려면:
단계 1. B열에서 금속을 선택합니다.
단계 2. C열의 드롭다운 메뉴에서 선택합니다(조합이 바르지 않을 경우 적색이 나타납니다).
단계 3. 드롭다운 메뉴에서 "제련소명 없음(Smelter Not Listed)"을 선택할 경우, D 및 E열을 작성합니다.
단계 4. H열에서 P열까지 모든 사용 가능한 제련소 정보를 입력합니다.
필수 항목은 별표(*)로 표기됩니다. </t>
  </si>
  <si>
    <t>Pour commencer :
Étape 1 : Sélectionnez Métal dans la colonne B 
Étape 2. Sélectionnez dans la liste déroulante de la colonne C (une mauvaise combinaison déclenche la couleur ROUGE)
Étape 3. Si la sélection de la liste déroulante est « Fonderie ne figurant pas dans la liste », remplissez les colonnes D et E
Étape 4. Saisissez toutes les informations disponibles sur la fonderie dans les colonnes H à P
Les champs obligatoires sont marqués d'un astérisque (*).</t>
  </si>
  <si>
    <t>Para iniciar:
Etapa 1. Selecione o Metal na coluna B
Etapa 2. Selecione a partir de lista suspensa na coluna C (a combinação errada desencadeará a cor VERMELHA)
Etapa 3. Se a seleção suspensa for “Fundição não listada” preencha as colunas D e E
Etapa 4. Digite todas as informações disponíveis da fundição nas colunas H até P
Os campos obrigatórios estão marcados com um asterisco (*).</t>
  </si>
  <si>
    <t>Um zu beginnen:
Schritt 1. Wählen Sie das Metall in Spalte B
Schritt 2. Wählen Sie aus dem Dropdown-Menü in Spalte C (die falsche Kombination löst die Farbe ROT aus)
Schritt 3. Wenn die Auswahl aus dem Dropdown-Menü „Schmelzofen nicht aufgeführt“ lautet, vervollständigen Sie Spalten D und E
Schritt 4. Geben Sie alle verfügbaren Informationen zu Schmelzöfen in Spalten H bis P ein
Pflichtfelder sind mit einem Sternchen (*) markiert.</t>
  </si>
  <si>
    <t>Para comenzar:
Paso 1. Seleccione Metal en la columna B
Paso 2. Seleccione una opción de la lista desplegable de la columna C (una combinación errónea activará el color ROJO)
Paso 3. Si la selección de la lista desplegable es "Smelter Not Listed" (Fundidor no enlistado), complete las columnas D y E
Paso 4. Ingrese toda la información disponible del fundidor de la columna H a la P
Los campos obligatorios tienen un asterisco (*).</t>
  </si>
  <si>
    <t>Per iniziare:
Fase 1. Selezionare il Metallo nella colonna B
Fase 2. Selezionare dalla tendina nella colonna C (la combinazione sbagliata provocherà il colore ROSSO)
Fase 3. Se la selezione della tendina è "Fonderia non elencata" completare le colonne D ed E
Fase 4. Inserire tutte le informazioni disponibili sulla fonderia nelle colonne da H a P
I campi obbligatori sono indicati con un asterisco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</si>
  <si>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</si>
  <si>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</si>
  <si>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</si>
  <si>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</si>
  <si>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</si>
  <si>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</si>
  <si>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</si>
  <si>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</si>
  <si>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</si>
  <si>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</si>
  <si>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</si>
  <si>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</si>
  <si>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</si>
  <si>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</si>
  <si>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</si>
  <si>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</si>
  <si>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</si>
  <si>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</si>
  <si>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</si>
  <si>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</si>
  <si>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</si>
  <si>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</si>
  <si>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</si>
  <si>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</si>
  <si>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</si>
  <si>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</si>
  <si>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</si>
  <si>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</si>
  <si>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</si>
  <si>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</si>
  <si>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</si>
  <si>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</si>
  <si>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</si>
  <si>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</si>
  <si>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</si>
  <si>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</si>
  <si>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</si>
  <si>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</si>
  <si>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</si>
  <si>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D16 单元格中提供联系人的电子邮件地址</t>
  </si>
  <si>
    <t>「申告」タブのD16セルに連絡先担当者の電子メールを記入してください</t>
  </si>
  <si>
    <t xml:space="preserve">신고(Declaration) 탭의 D16 셀에 담당자 이메일을 제공하십시오. </t>
  </si>
  <si>
    <t>Saisissez une adresse e-mail de contact dans la cellule D16 de l'onglet Déclaration</t>
  </si>
  <si>
    <t>Forneça um e-mail para contato na célula D16 da guia Declaração</t>
  </si>
  <si>
    <t>Geben Sie eine Kontakt-E-Mail-Adresse in der Reiterzelle D16 der Erklärung an</t>
  </si>
  <si>
    <t>Proporcione el correo electrónico del contacto en la pestaña Declaration (Declaración), celda D16</t>
  </si>
  <si>
    <t>Fornire un'e-mail di contatto nella cella D16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</si>
  <si>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</si>
  <si>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</si>
  <si>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</si>
  <si>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</si>
  <si>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</si>
  <si>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</si>
  <si>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</si>
  <si>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</si>
  <si>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</si>
  <si>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</si>
  <si>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</si>
  <si>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</si>
  <si>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</si>
  <si>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</si>
  <si>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</si>
  <si>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</si>
  <si>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D20 单元格中提供授权公司代表的电子邮件地址</t>
  </si>
  <si>
    <t>「申告」タブのD20セルに会社から正式に認められた代表者の電子メールを記入してください</t>
  </si>
  <si>
    <t xml:space="preserve">신고(Declaration) 탭의 D20 셀에 회사 대표 정보책임 담당자 이메일을 제공하십시오. </t>
  </si>
  <si>
    <t>Saisissez l'adresse e-mail du représentant agréé de l'entreprise dans la cellule D20 de l'onglet Déclaration</t>
  </si>
  <si>
    <t>Forneça um e-mail para o representante autorizado pela empresa na célula D20 da guia Declaração</t>
  </si>
  <si>
    <t>Geben Sie eine E-Mail-Adresse eines bevollmächtigten Unternehmensvertreters in der Reiterzelle D20 der Erklärung an</t>
  </si>
  <si>
    <t>Proporcione un correo electrónico del representante autorizado de la compañía en la pestaña Declaration (Declaración), celda D20</t>
  </si>
  <si>
    <t>Fornire un'e-mail del rappresentante della società autorizzata nella cella D20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</si>
  <si>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</si>
  <si>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</si>
  <si>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</si>
  <si>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</si>
  <si>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</si>
  <si>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</si>
  <si>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</si>
  <si>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</si>
  <si>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</si>
  <si>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</si>
  <si>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</si>
  <si>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</si>
  <si>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</si>
  <si>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</si>
  <si>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</si>
  <si>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</si>
  <si>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</si>
  <si>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</si>
  <si>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</si>
  <si>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</si>
  <si>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</si>
  <si>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</si>
  <si>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</si>
  <si>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</si>
  <si>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</si>
  <si>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</si>
  <si>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</si>
  <si>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</si>
  <si>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</si>
  <si>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</si>
  <si>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</si>
  <si>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</si>
  <si>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</si>
  <si>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</si>
  <si>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</si>
  <si>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</si>
  <si>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</si>
  <si>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</si>
  <si>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</si>
  <si>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</si>
  <si>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</si>
  <si>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</si>
  <si>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</si>
  <si>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</si>
  <si>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</si>
  <si>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</si>
  <si>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</si>
  <si>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</si>
  <si>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</si>
  <si>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</si>
  <si>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</si>
  <si>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</si>
  <si>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</si>
  <si>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</si>
  <si>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</si>
  <si>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</si>
  <si>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</si>
  <si>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</si>
  <si>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</si>
  <si>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</si>
  <si>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</si>
  <si>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</si>
  <si>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</si>
  <si>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</si>
  <si>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</si>
  <si>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</si>
  <si>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</si>
  <si>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</si>
  <si>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</si>
  <si>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</si>
  <si>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</si>
  <si>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</si>
  <si>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</si>
  <si>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</si>
  <si>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</si>
  <si>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</si>
  <si>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</si>
  <si>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</si>
  <si>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</si>
  <si>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</si>
  <si>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</si>
  <si>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</si>
  <si>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</si>
  <si>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</si>
  <si>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</si>
  <si>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</si>
  <si>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</si>
  <si>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</si>
  <si>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</si>
  <si>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</si>
  <si>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</si>
  <si>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</si>
  <si>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</si>
  <si>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</si>
  <si>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</si>
  <si>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</si>
  <si>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</si>
  <si>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</si>
  <si>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</si>
  <si>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</si>
  <si>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</si>
  <si>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</si>
  <si>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</si>
  <si>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</si>
  <si>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</si>
  <si>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</si>
  <si>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</si>
  <si>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</si>
  <si>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</si>
  <si>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</si>
  <si>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</si>
  <si>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</si>
  <si>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</si>
  <si>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</si>
  <si>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</si>
  <si>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</si>
  <si>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</si>
  <si>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</si>
  <si>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</si>
  <si>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</si>
  <si>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</si>
  <si>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</si>
  <si>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</si>
  <si>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</si>
  <si>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</si>
  <si>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</si>
  <si>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</si>
  <si>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</si>
  <si>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</si>
  <si>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</si>
  <si>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</si>
  <si>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</si>
  <si>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</si>
  <si>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</si>
  <si>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</si>
  <si>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</si>
  <si>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</si>
  <si>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</si>
  <si>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</si>
  <si>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</si>
  <si>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</si>
  <si>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</si>
  <si>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</si>
  <si>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</si>
  <si>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</si>
  <si>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</si>
  <si>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</si>
  <si>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</si>
  <si>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</si>
  <si>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</si>
  <si>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</si>
  <si>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</si>
  <si>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</si>
  <si>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</si>
  <si>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</si>
  <si>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</si>
  <si>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</si>
  <si>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</si>
  <si>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</si>
  <si>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</si>
  <si>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</si>
  <si>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</si>
  <si>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</si>
  <si>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</si>
  <si>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</si>
  <si>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</si>
  <si>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</si>
  <si>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</si>
  <si>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</si>
  <si>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</si>
  <si>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</si>
  <si>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</si>
  <si>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</si>
  <si>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</si>
  <si>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</si>
  <si>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</si>
  <si>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</si>
  <si>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</si>
  <si>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</si>
  <si>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</si>
  <si>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</si>
  <si>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</si>
  <si>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</si>
  <si>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</si>
  <si>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</si>
  <si>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</si>
  <si>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</si>
  <si>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</si>
  <si>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</si>
  <si>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</si>
  <si>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</si>
  <si>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</si>
  <si>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</si>
  <si>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</si>
  <si>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</si>
  <si>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</si>
  <si>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</si>
  <si>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</si>
  <si>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</si>
  <si>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</si>
  <si>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</si>
  <si>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</si>
  <si>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</si>
  <si>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</si>
  <si>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</si>
  <si>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</si>
  <si>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</si>
  <si>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</si>
  <si>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</si>
  <si>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</si>
  <si>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</si>
  <si>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</si>
  <si>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</si>
  <si>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</si>
  <si>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</si>
  <si>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</si>
  <si>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</si>
  <si>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</si>
  <si>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</si>
  <si>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</si>
  <si>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</si>
  <si>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</si>
  <si>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</si>
  <si>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</si>
  <si>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</si>
  <si>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</si>
  <si>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</si>
  <si>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</si>
  <si>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</si>
  <si>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</si>
  <si>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</si>
  <si>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</si>
  <si>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</si>
  <si>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</si>
  <si>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</si>
  <si>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</si>
  <si>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</si>
  <si>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</si>
  <si>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</si>
  <si>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</si>
  <si>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</si>
  <si>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</si>
  <si>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</si>
  <si>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</si>
  <si>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</si>
  <si>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</si>
  <si>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</si>
  <si>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</si>
  <si>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</si>
  <si>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</si>
  <si>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</si>
  <si>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</si>
  <si>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</si>
  <si>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</si>
  <si>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</si>
  <si>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</si>
  <si>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</si>
  <si>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</si>
  <si>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</si>
  <si>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</si>
  <si>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</si>
  <si>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</si>
  <si>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</si>
  <si>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</si>
  <si>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</si>
  <si>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</si>
  <si>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</si>
  <si>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</si>
  <si>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</si>
  <si>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</si>
  <si>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</si>
  <si>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</si>
  <si>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</si>
  <si>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</si>
  <si>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</si>
  <si>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</si>
  <si>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</si>
  <si>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</si>
  <si>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</si>
  <si>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</si>
  <si>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</si>
  <si>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</si>
  <si>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</si>
  <si>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</si>
  <si>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</si>
  <si>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</si>
  <si>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</si>
  <si>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</si>
  <si>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</si>
  <si>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</si>
  <si>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</si>
  <si>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</si>
  <si>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</si>
  <si>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</si>
  <si>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</si>
  <si>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</si>
  <si>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</si>
  <si>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</si>
  <si>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</si>
  <si>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</si>
  <si>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</si>
  <si>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</si>
  <si>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</si>
  <si>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</si>
  <si>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</si>
  <si>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</si>
  <si>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</si>
  <si>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</si>
  <si>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</si>
  <si>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</si>
  <si>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</si>
  <si>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</si>
  <si>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</si>
  <si>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</si>
  <si>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</si>
  <si>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</si>
  <si>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</si>
  <si>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</si>
  <si>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</si>
  <si>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</si>
  <si>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</si>
  <si>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</si>
  <si>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</si>
  <si>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</si>
  <si>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</si>
  <si>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</si>
  <si>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</si>
  <si>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</si>
  <si>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</si>
  <si>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</si>
  <si>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</si>
  <si>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</si>
  <si>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</si>
  <si>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</si>
  <si>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</si>
  <si>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</si>
  <si>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</si>
  <si>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</si>
  <si>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</si>
  <si>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</si>
  <si>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</si>
  <si>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</si>
  <si>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</si>
  <si>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</si>
  <si>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</si>
  <si>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</si>
  <si>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</si>
  <si>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</si>
  <si>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</si>
  <si>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</si>
  <si>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</si>
  <si>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</si>
  <si>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</si>
  <si>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</si>
  <si>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</si>
  <si>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</si>
  <si>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</si>
  <si>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</si>
  <si>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</si>
  <si>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</si>
  <si>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</si>
  <si>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</si>
  <si>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</si>
  <si>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</si>
  <si>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</si>
  <si>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</si>
  <si>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</si>
  <si>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</si>
  <si>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</si>
  <si>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</si>
  <si>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</si>
  <si>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</si>
  <si>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</si>
  <si>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</si>
  <si>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</si>
  <si>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</si>
  <si>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</si>
  <si>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</si>
  <si>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</si>
  <si>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</si>
  <si>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</si>
  <si>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</si>
  <si>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</si>
  <si>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2. Smelter Reference List(*) - Select from dropdown.  This is the list of known smelters as of template release date.  If smelter is not listed select 'Smelter Not Listed'.  This will allow you to enter the name of the smelter in Column D.  This field is mandatory.</t>
  </si>
  <si>
    <r>
      <t>2. 冶炼厂参考清单（</t>
    </r>
    <r>
      <rPr>
        <vertAlign val="superscript"/>
        <sz val="11"/>
        <rFont val="Calibri"/>
        <family val="2"/>
      </rPr>
      <t>*</t>
    </r>
    <r>
      <rPr>
        <sz val="11"/>
        <rFont val="Calibri"/>
        <family val="2"/>
      </rPr>
      <t>）- 在下拉菜单中选择。清单列出了所有直到发布此申报模板时已知的冶炼厂。 如果待申报的冶炼厂不在清单中时请选择“冶炼厂没列出”。出现这种情况时请将该冶炼厂的名称输入D列。 此栏必须填写。</t>
    </r>
  </si>
  <si>
    <t>2.製錬業者参照表(*)　－　ドロップダウンメニューから選択。ここに、テンプレート発行日時点の既知の製錬業者名が列記されています。製錬業者がここにない場合、「Smelter Not Listed （製錬業者が表に含まれていない）」を選択してください。これを選択すると、製錬業者名をＤ列に記入できるようになります。この欄は必須です。</t>
  </si>
  <si>
    <t>2. 제련소 참조리스트 (*) - 드롭 다운 메뉴에서 선택합니다. 이것은 템플릿 발행일 현재 제련소로 알려진 것의 리스트입니다. 제련소가 리스트에 없다면, "Smelter Not Listed"를 선택하십시요. 이것은 귀사가 Column D에 제련소 이름을 넣을 수 있도록 할 것입니다.  이 필드는 필수입니다.</t>
  </si>
  <si>
    <t>2. Liste des fonderies identifiées (*) - Sélectionnez la liste déroulante. Il s'agit de la liste des fonderies identifiées à la date de publication du formulaire. Si la fonderie n'est pas répertorié, sélectionnez 'Fonderie non répertoriée'. Cela vous permettra de saisir le nom de la fonderie dans la colonne D. Ce champ est obligatoire.</t>
  </si>
  <si>
    <t>2. Lista de referência de Fundições(*) - Selecione da lista do menu. Esta é a lista das fundições conhecidas à data do lançamento deste modelo. Se a fundição não estiver na lista selecionar "Fundição não listada". Isto irá permitir colocar o nome da fundição na coluna D. Este campo é obrigatório.</t>
  </si>
  <si>
    <t>2. Schmelzer Referenz Liste ( * ) - Wählen Sie aus der Drop-down Liste aus. Dies ist die Liste der bekannten Hütten in der Vorlage. Wenn der Schmelzer nicht aufgeführt wird,  wählen Sie "Schmelze nicht aufgeführt".  Dies ermöglicht es den Namen der Aluminiumhütte in Spalte D einzugeben. Dies ist ein Pflichteingabefeld.</t>
  </si>
  <si>
    <t xml:space="preserve">2.- Lista de referencia de fundidores (*)-  Seleccione del menú de opciones. Esta es la lista de fundidores conocidos a la fecha de la liberación del templete. Si el fundidor no esta listado seleccione " Fundidor no listado". Esto permitirá capturar el nombre del fundidor en la columna D.  Este campo es obligatorio
 </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</si>
  <si>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</si>
  <si>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</si>
  <si>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</si>
  <si>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</si>
  <si>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</si>
  <si>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</si>
  <si>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</si>
  <si>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</si>
  <si>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</si>
  <si>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</si>
  <si>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</si>
  <si>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</si>
  <si>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</si>
  <si>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</si>
  <si>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</si>
  <si>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3)御社サプライチェーン内の製錬業者のいずれかが、対象国を3TGの原産地としていますか？</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</si>
  <si>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</si>
  <si>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</si>
  <si>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以下の精錬業者リストは、このテンプレート発表時点で最新のCFSIの精錬業者／別名の情報を表すものです。このリストに精錬業者の名前が掲載されている場合であっても、それはコンフリクトフリー精錬業者プログラム内で現在アクティブまたは適合しているという保証ではありません。
最新版かつ正確な標準精錬業者（アクティブまたは適合）リストについては、CFSIウエブサイトを参照してください（http://www.conflictfreesourcing.org）。
B列は、CFSPの監査プログラムの資格を持つ既知の精錬業者の一般名称リストです。
C列は、資格を持つ精錬業者の正式名称と理解されている、正式な標準精錬業者名のリストです。大多数の精錬業者の名前は両列で同じですが、一般名称が正式名と違う場合は、B列にその違いが注記されています。</t>
  </si>
  <si>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</si>
  <si>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</si>
  <si>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3)贵公司供应链中的任何冶炼厂是否从所指明的国家采 购 3TG?</t>
  </si>
  <si>
    <t>Shandong Province</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</si>
  <si>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</si>
  <si>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</si>
  <si>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</si>
  <si>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</si>
  <si>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</si>
  <si>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</si>
  <si>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</si>
  <si>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</si>
  <si>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</si>
  <si>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</si>
  <si>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</si>
  <si>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</si>
  <si>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</si>
  <si>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</si>
  <si>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</si>
  <si>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</si>
  <si>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</si>
  <si>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</si>
  <si>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</si>
  <si>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Hwasung CJ Co., Ltd.</t>
  </si>
  <si>
    <t>Johnson Matthey Inc.</t>
  </si>
  <si>
    <t>Johnson Matthey Limited</t>
  </si>
  <si>
    <t>King-Tan Tantalum Industry Ltd.</t>
  </si>
  <si>
    <t>Kojima Chemicals Co., Ltd.</t>
  </si>
  <si>
    <t>Korea Metal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</si>
  <si>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</si>
  <si>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</si>
  <si>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</si>
  <si>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</si>
  <si>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</si>
  <si>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</si>
  <si>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</si>
  <si>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</si>
  <si>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</si>
  <si>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</si>
  <si>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PT Seirama Tin Investment</t>
  </si>
  <si>
    <t>Rand Refinery (Pty) Ltd.</t>
  </si>
  <si>
    <t>RFH Tantalum Smeltry Co., Ltd.</t>
  </si>
  <si>
    <t>SAMWON Metals Corp.</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</si>
  <si>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</si>
  <si>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</si>
  <si>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</si>
  <si>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</si>
  <si>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</si>
  <si>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</si>
  <si>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</si>
  <si>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</si>
  <si>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</si>
  <si>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</si>
  <si>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Zhuzhou Cemented Carbide</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</si>
  <si>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</si>
  <si>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</si>
  <si>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</si>
  <si>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</si>
  <si>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</si>
  <si>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</si>
  <si>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</si>
  <si>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</si>
  <si>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Pflichtfelder sind mit einem Stern (*) gekennzeichnet. Die in diesem Fragebogen erfassten Informationen müssen jährlich aktualisiert werden. Jegliche Änderungen sollten Ihren Kunden zur Verfügung gestellt werden.</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</si>
  <si>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</si>
  <si>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</si>
  <si>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</si>
  <si>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</si>
  <si>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</si>
  <si>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</si>
  <si>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</si>
  <si>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</si>
  <si>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</si>
  <si>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</si>
  <si>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</si>
  <si>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</si>
  <si>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</si>
  <si>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</si>
  <si>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</si>
  <si>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</si>
  <si>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</si>
  <si>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</si>
  <si>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</si>
  <si>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</si>
  <si>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</si>
  <si>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</si>
  <si>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</si>
  <si>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</si>
  <si>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</si>
  <si>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</si>
  <si>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</si>
  <si>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</si>
  <si>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</si>
  <si>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</si>
  <si>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</si>
  <si>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</si>
  <si>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</si>
  <si>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</si>
  <si>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</si>
  <si>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</si>
  <si>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</si>
  <si>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</si>
  <si>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</si>
  <si>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</si>
  <si>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</si>
  <si>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</si>
  <si>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</si>
  <si>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</si>
  <si>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</si>
  <si>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</si>
  <si>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</si>
  <si>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</si>
  <si>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</si>
  <si>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</si>
  <si>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</si>
  <si>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</si>
  <si>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</si>
  <si>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</si>
  <si>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</si>
  <si>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</si>
  <si>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</si>
  <si>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</si>
  <si>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</si>
  <si>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</si>
  <si>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</si>
  <si>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3) Beschafft eine der Schmelzhütten Ihrer Lieferkette das 3TG-Mineral aus den betroffenen Ländern?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</si>
  <si>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</si>
  <si>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</si>
  <si>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</si>
  <si>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</si>
  <si>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</si>
  <si>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</si>
  <si>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5)御社は全サプライヤーから、各3TGに関するデータ／情報を受け取っていますか？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</si>
  <si>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</si>
  <si>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</si>
  <si>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</si>
  <si>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</si>
  <si>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</si>
  <si>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</si>
  <si>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</si>
  <si>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Canada Limited</t>
  </si>
  <si>
    <t>Asahi Refining USA Inc.</t>
  </si>
  <si>
    <t>Elemetal Refining, LLC</t>
  </si>
  <si>
    <t>Quezon City</t>
  </si>
  <si>
    <t>Elmet S.L.U. (Metallo Group)</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</si>
  <si>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</si>
  <si>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</si>
  <si>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</si>
  <si>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</si>
  <si>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</si>
  <si>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</si>
  <si>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</si>
  <si>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</si>
  <si>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</si>
  <si>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</si>
  <si>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Aukland</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</si>
  <si>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</si>
  <si>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</si>
  <si>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</si>
  <si>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</si>
  <si>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</si>
  <si>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</si>
  <si>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</si>
  <si>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</si>
  <si>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</si>
  <si>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</si>
  <si>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</si>
  <si>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</si>
  <si>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METALÚRGICA MET-MEX PEÑOLES, S.A. DE C.V</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</si>
  <si>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</si>
  <si>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</si>
  <si>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</si>
  <si>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</si>
  <si>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</si>
  <si>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</si>
  <si>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</si>
  <si>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</si>
  <si>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</si>
  <si>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kikinzoku kogyo K.k</t>
  </si>
  <si>
    <t>Tanaka Denshi Kogyo K.K</t>
  </si>
  <si>
    <t>Zhaoqing Duoluoshan Non-ferrous Metals Co.,Ltd</t>
  </si>
  <si>
    <t>Alpha Metals Korea Ltd.</t>
  </si>
  <si>
    <t>Chengfeng Metals Co Pte Ltd</t>
  </si>
  <si>
    <t>China Rare Metal Material Co., Ltd.</t>
  </si>
  <si>
    <t>China Tin (Hechi)</t>
  </si>
  <si>
    <t>China Tin Lai Ben Smelter Co., Ltd.</t>
  </si>
  <si>
    <t>CV Justindo</t>
  </si>
  <si>
    <t>Empresa Metalúrgica Vinto</t>
  </si>
  <si>
    <t>Indonesian State Tin Corporation Mentok Smelter</t>
  </si>
  <si>
    <t>Jiangxi Nanshan</t>
  </si>
  <si>
    <t>Kai Union Industry and Trade Co., Ltd. (China)</t>
  </si>
  <si>
    <t>Mentok Smelter</t>
  </si>
  <si>
    <t>MSC</t>
  </si>
  <si>
    <t>PT Timah Nusantara</t>
  </si>
  <si>
    <t>Smelting Branch of Yunnan Tin Company Ltd</t>
  </si>
  <si>
    <t>Unit Timah Kundur PT Tambang</t>
  </si>
  <si>
    <t>Yunnan Chengfeng</t>
  </si>
  <si>
    <t>ALMT Sumitomo Group</t>
  </si>
  <si>
    <t>ATI Metalworking Products</t>
  </si>
  <si>
    <t>Jiangxi Tungsten Co Ltd</t>
  </si>
  <si>
    <t>Metahub Industries Sdn. Bhd.</t>
  </si>
  <si>
    <t>CID001136</t>
  </si>
  <si>
    <t>Johor</t>
  </si>
  <si>
    <t>Avon Specialty Metals Ltd</t>
  </si>
  <si>
    <t>CID002705</t>
  </si>
  <si>
    <t>Gloucester</t>
  </si>
  <si>
    <t>Gloucestershire</t>
  </si>
  <si>
    <t>PT Sukses Inti Makmur</t>
  </si>
  <si>
    <t>CID002816</t>
  </si>
  <si>
    <t>CID002821</t>
  </si>
  <si>
    <t>Johor Bahru</t>
  </si>
  <si>
    <t>An Thai Minerals Company Limited</t>
  </si>
  <si>
    <t>CID002825</t>
  </si>
  <si>
    <t>CCR Refinery - Glencore Canada Corporation</t>
  </si>
  <si>
    <t>Chaozhou Xianglu Tungsten Industry Co., Ltd.</t>
  </si>
  <si>
    <t>OJSC "The Gulidov Krasnoyarsk Non-Ferrous Metals Plant" (OJSC Krastvetmet)</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</si>
  <si>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</si>
  <si>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</si>
  <si>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</si>
  <si>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</si>
  <si>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</si>
  <si>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</si>
  <si>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Belitung Timur</t>
  </si>
  <si>
    <t>Revision 4.01a
August 6, 2015</t>
  </si>
  <si>
    <t>Revision 4.01a  August 6, 2015</t>
  </si>
  <si>
    <t>Revision 4.01a August 6, 2015</t>
  </si>
  <si>
    <t>Dec 21st, 2012</t>
  </si>
  <si>
    <t>March 29th, 2013</t>
  </si>
  <si>
    <t>July 12th, 2013</t>
  </si>
  <si>
    <t>July 25th, 2013</t>
  </si>
  <si>
    <t>April 9th, 2014</t>
  </si>
  <si>
    <t>May 30th, 2014</t>
  </si>
  <si>
    <t>Nov 7th, 2014</t>
  </si>
  <si>
    <t>Apr 30th, 2015</t>
  </si>
  <si>
    <t>August 6th, 2015</t>
  </si>
  <si>
    <t>June 12th, 2015</t>
  </si>
  <si>
    <t>Hitachi Automotive Systems (SuZhou) Ltd.</t>
    <phoneticPr fontId="4" type="noConversion"/>
  </si>
  <si>
    <t>DUNS ID</t>
    <phoneticPr fontId="4" type="noConversion"/>
  </si>
  <si>
    <t>NO.255 Xinglong Street , Suzhou Industrial Park</t>
    <phoneticPr fontId="4" type="noConversion"/>
  </si>
  <si>
    <t>Luo Lei</t>
    <phoneticPr fontId="4" type="noConversion"/>
  </si>
  <si>
    <t>Luo Lei</t>
    <phoneticPr fontId="4" type="noConversion"/>
  </si>
  <si>
    <t>luolei.dt@hitachi-automotive-su.cn</t>
    <phoneticPr fontId="4" type="noConversion"/>
  </si>
  <si>
    <t>luolei.dt@hitachi-automotive-su.cn</t>
    <phoneticPr fontId="4" type="noConversion"/>
  </si>
  <si>
    <t>Vice President Corporate Procurement</t>
    <phoneticPr fontId="4" type="noConversion"/>
  </si>
  <si>
    <t>So Accurate Refing Group</t>
  </si>
  <si>
    <t>Not Disclosed</t>
  </si>
  <si>
    <t>Long Island City New York, Usa</t>
  </si>
  <si>
    <t>Lawrence Wilson</t>
  </si>
  <si>
    <t>Mail@Soaccurate.Com</t>
  </si>
  <si>
    <t>None Require Scrap Recycler</t>
  </si>
  <si>
    <t>Recycled</t>
  </si>
  <si>
    <t>Western Australian Mint Trading As The Perth Mint</t>
  </si>
  <si>
    <t>Fuchu-City</t>
  </si>
  <si>
    <t>Toshiaki Dobashi</t>
  </si>
  <si>
    <t>Tdobashi@Aida-J.Jp</t>
  </si>
  <si>
    <t>Some Are Recycled Or Scrap Sourced But Not All.</t>
  </si>
  <si>
    <t>Aktyubinsk Copper Company Too</t>
  </si>
  <si>
    <t>Allgemeine Gold- Und Silberscheideanstalt A.G.</t>
  </si>
  <si>
    <t>Almalyk Mining And Metallurgical Complex (Ammc)</t>
  </si>
  <si>
    <t>Anglogold Ashanti Córrego Do Sítio Mineração</t>
  </si>
  <si>
    <t>Brazil</t>
  </si>
  <si>
    <t>1073 Imazaike;</t>
  </si>
  <si>
    <t>Saijyo-City;</t>
  </si>
  <si>
    <t>Ehime Pref.;</t>
  </si>
  <si>
    <t>Mitsunobu Kimura;</t>
  </si>
  <si>
    <t>M-Kimura@Asahipretech.Com;</t>
  </si>
  <si>
    <t>Recycled Or Scrap</t>
  </si>
  <si>
    <t>Does Not Source From Covered Countries</t>
  </si>
  <si>
    <t>Asahi Refining Usa Inc.</t>
  </si>
  <si>
    <t>Asaka Riken Co Ltd</t>
  </si>
  <si>
    <t>47 Aza Maseguchi, Kanaya, Tamura-Machi,Koriyama-Shi, Fukushima</t>
  </si>
  <si>
    <t>Akihiko Hamao</t>
  </si>
  <si>
    <t>Pahamo@Asaka.Co.Jp</t>
  </si>
  <si>
    <t>Recycle</t>
  </si>
  <si>
    <t>Turkey</t>
  </si>
  <si>
    <t>Mineral Sourcing Not Disclosed Per Lbma</t>
  </si>
  <si>
    <t>Bangko Sentral Ng Pilipinas (Central Bank Of The Philippines)</t>
  </si>
  <si>
    <t>Philippines</t>
  </si>
  <si>
    <t>Bauer Walser Ag</t>
  </si>
  <si>
    <t>Germany</t>
  </si>
  <si>
    <t>Boliden Ab</t>
  </si>
  <si>
    <t>C. Hafner Gmbh + Co. Kg</t>
  </si>
  <si>
    <t>Chile;Mexico</t>
  </si>
  <si>
    <t>Cendres + Métaux Sa</t>
  </si>
  <si>
    <t>Chimet S.P.A.</t>
  </si>
  <si>
    <t>Italy</t>
  </si>
  <si>
    <t>Zhongyuan Gold Smelter Of Zhongjin Gold Corporation</t>
  </si>
  <si>
    <t>The Refinery Of Shandong Gold Mining Co., Ltd.</t>
  </si>
  <si>
    <t>Laizhou City</t>
  </si>
  <si>
    <t>China</t>
  </si>
  <si>
    <t>Smelter List_8/Plating Material/Alfact,Jyc Electronics(Changshu) Co., Ltd</t>
  </si>
  <si>
    <t>2-12-16 Keihinjima Ota-Ku Tokyo</t>
  </si>
  <si>
    <t>Jun Umeki</t>
  </si>
  <si>
    <t>Recycled &amp; Scrap</t>
  </si>
  <si>
    <t>No. 18 Xialu Road</t>
  </si>
  <si>
    <t>Hubei</t>
  </si>
  <si>
    <t>60-1, Otarube, Kosakakouzan,</t>
  </si>
  <si>
    <t>Kosaka-Machi, Kazuno-Gun</t>
  </si>
  <si>
    <t>Mr. Koji Miyake</t>
  </si>
  <si>
    <t>Miyakek@Dowa.Co.Jp / Tel: +81-368471204 / Tel: +81-368471200 / Http://Www.Dowa.Co.Jp</t>
  </si>
  <si>
    <t>(Include Recycled)</t>
  </si>
  <si>
    <t>Eco-System Recycling Co.,Ltd.</t>
  </si>
  <si>
    <t>Honjo-Shi</t>
  </si>
  <si>
    <t>S</t>
  </si>
  <si>
    <t>Faggi Enrico S.P.A.</t>
  </si>
  <si>
    <t>Fse Novosibirsk Refinery</t>
  </si>
  <si>
    <t>Not Disclosed By Supplier</t>
  </si>
  <si>
    <t>Lanzhou City</t>
  </si>
  <si>
    <t>Great Wall Precious Metals Co., Ltd. Of Cbpm</t>
  </si>
  <si>
    <t>#60 Wenjiang Xianjian Rd</t>
  </si>
  <si>
    <t>Guo Xiao Yang</t>
  </si>
  <si>
    <t>Chinakwok@126.Com</t>
  </si>
  <si>
    <t>Heimerle + Meule Gmbh</t>
  </si>
  <si>
    <t>Germany, Recycled</t>
  </si>
  <si>
    <t>China/Recycled/Scrap</t>
  </si>
  <si>
    <t>Heraeus Precious Metals Gmbh &amp; Co. Kg</t>
  </si>
  <si>
    <t>49 (0) 6181.35-5001</t>
  </si>
  <si>
    <t>Guanzhuang Zheng</t>
  </si>
  <si>
    <t>Li Zhongping</t>
  </si>
  <si>
    <t>Czky@Hncmi.Com</t>
  </si>
  <si>
    <t>Inner Mongolia Qiankun Gold And Silver Refinery Share Company Limited</t>
  </si>
  <si>
    <t>Canada, Japan, Australia, Recycled</t>
  </si>
  <si>
    <t>Japan</t>
  </si>
  <si>
    <t>Jsc Ekaterinburg Non-Ferrous Metal Processing Plant</t>
  </si>
  <si>
    <t>Jsc Uralectromed</t>
  </si>
  <si>
    <t>Aouralem@Elem.Ru</t>
  </si>
  <si>
    <t>Jx Nippon Mining &amp; Metals Co., Ltd.</t>
  </si>
  <si>
    <t>3382-3 Saganoseki Oita</t>
  </si>
  <si>
    <t>Oita-Ken</t>
  </si>
  <si>
    <t>Peter</t>
  </si>
  <si>
    <t>Peter@Shinkotw.Com.Tw</t>
  </si>
  <si>
    <t>Sumitomo Metal Mining Co., Ltd./ Cadia Hill/ Huckleberry</t>
  </si>
  <si>
    <t>Smelter List_8/Plating Material/Matsuda Sangyo</t>
  </si>
  <si>
    <t>Cfs Certified From Delphi Answer</t>
  </si>
  <si>
    <t>Kazakhmys Smelting Llc</t>
  </si>
  <si>
    <t>Kennecott Utah Copper</t>
  </si>
  <si>
    <t>12800 South State Hwy. 111</t>
  </si>
  <si>
    <t>Bingham Canyon</t>
  </si>
  <si>
    <t>Ut</t>
  </si>
  <si>
    <t>Michael Kleczka</t>
  </si>
  <si>
    <t>Michael.Kleczka@Riotinto.Com</t>
  </si>
  <si>
    <t>Kghm Polska Miedź Spółka Akcyjna</t>
  </si>
  <si>
    <t>Kojima Chemicals Co., Ltd</t>
  </si>
  <si>
    <t>337-26 Kashiwabara Sayama-Shi</t>
  </si>
  <si>
    <t>Kashiwabara</t>
  </si>
  <si>
    <t>Hiroki Minowa</t>
  </si>
  <si>
    <t>H.Minowa</t>
  </si>
  <si>
    <t>H.Minowa@Kojima-C.Co.Jp</t>
  </si>
  <si>
    <t>Verified As Compliant With The Conflict-Free Smelter Program (Cfsp) Assessment Protocol.</t>
  </si>
  <si>
    <t>Kyrgyzaltyn Jsc</t>
  </si>
  <si>
    <t>Kyrgyzstan</t>
  </si>
  <si>
    <t>L' Azurde Company For Jewelry</t>
  </si>
  <si>
    <t>Tonghui99.99@163.Com</t>
  </si>
  <si>
    <t>Ask For Confirmation Until End Of Dec 2013</t>
  </si>
  <si>
    <t>2n Floor,Zi Jin Palace International Hotel, Ling Bao City, He Nan Province, China</t>
  </si>
  <si>
    <r>
      <t>Tel 0398</t>
    </r>
    <r>
      <rPr>
        <sz val="11"/>
        <color rgb="FF000000"/>
        <rFont val="MS Gothic"/>
        <family val="3"/>
      </rPr>
      <t>－</t>
    </r>
    <r>
      <rPr>
        <sz val="11"/>
        <color rgb="FF000000"/>
        <rFont val="宋体"/>
        <family val="2"/>
        <scheme val="minor"/>
      </rPr>
      <t>8858156</t>
    </r>
  </si>
  <si>
    <t>Ls-Nikko Copper Inc.</t>
  </si>
  <si>
    <t>70,Daejung-Ri,Onsan-Eup,Ulju-Gun,Ulsan,Korea</t>
  </si>
  <si>
    <t>Gyeongsangnam-Do</t>
  </si>
  <si>
    <t>Jinwon,Jung</t>
  </si>
  <si>
    <t>Gogilra11@Lsnikko.Com</t>
  </si>
  <si>
    <t>Minera Escondida Limitada</t>
  </si>
  <si>
    <t>Chile</t>
  </si>
  <si>
    <t>Luoyang Zijin Yinhui Gold Smelting Co. Ltd.</t>
  </si>
  <si>
    <t>No. 214 Qiming Road</t>
  </si>
  <si>
    <t>Luoyang City</t>
  </si>
  <si>
    <t>Mr. Qiu</t>
  </si>
  <si>
    <t>Bgs@Yh5211.Com.Cn</t>
  </si>
  <si>
    <t>Materion Advanced Metals</t>
  </si>
  <si>
    <t>6070 Parkland Boulevard</t>
  </si>
  <si>
    <t>Rod Martinez</t>
  </si>
  <si>
    <t>Rodrigo.Martinez@Materion.Com</t>
  </si>
  <si>
    <t>Matsuda Sangyo Co. Ltd</t>
  </si>
  <si>
    <t>189-1 Matsubara Sayamagahara</t>
  </si>
  <si>
    <t>(+81)4-2934-5357</t>
  </si>
  <si>
    <t>Conflict-Free@Matsuda-Sangyo.Co.Jp</t>
  </si>
  <si>
    <t>Funaya-Aza-Sinchiotu145-1/Saijyo-Si/Ehime-Ken/Japan</t>
  </si>
  <si>
    <t>Metalor Technologies Sa</t>
  </si>
  <si>
    <t>Switzerland</t>
  </si>
  <si>
    <t>Suite 1705-9, The Metropolis Tower 10 Metropolis Drive, Hung Hom</t>
  </si>
  <si>
    <t>Yf Tsoi</t>
  </si>
  <si>
    <t>Yeuk_Fung_Tsoi@Metalor.Com</t>
  </si>
  <si>
    <t>Cfs Compliant</t>
  </si>
  <si>
    <t>Metalor Technologies (Singapore) Pte. Ltd.</t>
  </si>
  <si>
    <t>67, Techpark Crescent, 638074, Singapore</t>
  </si>
  <si>
    <t>Ngiaw Kiew Kong</t>
  </si>
  <si>
    <t>Kk.Ngiaw@Metalor.Com</t>
  </si>
  <si>
    <t>Suzhou City</t>
  </si>
  <si>
    <t>Jiangsu Province</t>
  </si>
  <si>
    <r>
      <t>Mr. Fifa .Sun((</t>
    </r>
    <r>
      <rPr>
        <sz val="11"/>
        <color rgb="FF000000"/>
        <rFont val="MingLiU"/>
        <family val="3"/>
      </rPr>
      <t>孙辉</t>
    </r>
    <r>
      <rPr>
        <sz val="11"/>
        <color rgb="FF000000"/>
        <rFont val="宋体"/>
        <family val="2"/>
        <scheme val="minor"/>
      </rPr>
      <t>) )</t>
    </r>
  </si>
  <si>
    <t>Fifa.Sun@Metalor.Com</t>
  </si>
  <si>
    <t>Na</t>
  </si>
  <si>
    <r>
      <t>嘉捷</t>
    </r>
    <r>
      <rPr>
        <sz val="11"/>
        <color rgb="FF000000"/>
        <rFont val="宋体"/>
        <family val="2"/>
        <scheme val="minor"/>
      </rPr>
      <t xml:space="preserve"> For Adaptor Card</t>
    </r>
  </si>
  <si>
    <t>Metalor Usa Refining Corporation</t>
  </si>
  <si>
    <t>Ikuno-Cho</t>
  </si>
  <si>
    <t>Asago-Shi,</t>
  </si>
  <si>
    <t>Mminami@Mmc.Co.Jp</t>
  </si>
  <si>
    <t>Mitsui Mining And Smelting Co., Ltd.</t>
  </si>
  <si>
    <t>Mmtc-Pamp India Pvt., Ltd.</t>
  </si>
  <si>
    <t>Morris And Watson</t>
  </si>
  <si>
    <t>Navoi Mining And Metallurgical Combinat</t>
  </si>
  <si>
    <t>No 27, Navoi Street, Navoi 210100, Uzbekistan</t>
  </si>
  <si>
    <t>Nihon Material Co,Ltd</t>
  </si>
  <si>
    <t>19-2 Hayama</t>
  </si>
  <si>
    <t>We Purchase Purecious Metals Fromagent Or Metal Company.         We Don't Purchase From Mining Company Directly.</t>
  </si>
  <si>
    <t>Ögussa Österreichische Gold- Und Silber-Scheideanstalt Gmbh</t>
  </si>
  <si>
    <t>Elemetal Refining, Llc</t>
  </si>
  <si>
    <t>Ojsc Kolyma Refinery</t>
  </si>
  <si>
    <t>Pamp Sa</t>
  </si>
  <si>
    <t>L3</t>
  </si>
  <si>
    <t>Penglai Penggang Gold Industry Co Ltd</t>
  </si>
  <si>
    <t>Penglai City</t>
  </si>
  <si>
    <t>Prioksky Plant Of Non-Ferrous Metals</t>
  </si>
  <si>
    <t>Pt Aneka Tambang (Persero) Tbk</t>
  </si>
  <si>
    <t>Indonesia</t>
  </si>
  <si>
    <t>Px Précinox Sa</t>
  </si>
  <si>
    <t>Rand Refinery (Pty) Ltd</t>
  </si>
  <si>
    <t>Refinery Road, Industries West, Germiston</t>
  </si>
  <si>
    <t>South Africa</t>
  </si>
  <si>
    <t>Jack Xue</t>
  </si>
  <si>
    <t>Jack.Xue@Metalor.Com</t>
  </si>
  <si>
    <t>Not Disclosed Per Lbma</t>
  </si>
  <si>
    <t>Compliant Cfs</t>
  </si>
  <si>
    <t>Canada</t>
  </si>
  <si>
    <t>East Hampton</t>
  </si>
  <si>
    <t>Ny</t>
  </si>
  <si>
    <t>Get On EICC List Or Be Eliminated As Supplier</t>
  </si>
  <si>
    <t>Saxonia Edelmetallrecycling</t>
  </si>
  <si>
    <t>Erzstr. 5</t>
  </si>
  <si>
    <t>Fr. Gündel</t>
  </si>
  <si>
    <t>Guendel@Saxonia.De</t>
  </si>
  <si>
    <t>Schone Edelmetaal</t>
  </si>
  <si>
    <t>Broekstraat 31 1000</t>
  </si>
  <si>
    <t>Brussels</t>
  </si>
  <si>
    <t>Belgium</t>
  </si>
  <si>
    <t>Sempsa Joyería Platería Sa</t>
  </si>
  <si>
    <t>Avda. De La Democracia</t>
  </si>
  <si>
    <t>Mr. Julian Sarda</t>
  </si>
  <si>
    <t>Jsarda@Sempsajp.Com</t>
  </si>
  <si>
    <t>From Delphi Answer</t>
  </si>
  <si>
    <t>Shandong Tiancheng Biological Gold Industrial Co. Ltd.</t>
  </si>
  <si>
    <t>Shandong Zhaojin Gold &amp; Silver Refinery Co. Ltd</t>
  </si>
  <si>
    <t>Spring F113, No. 111 Roda</t>
  </si>
  <si>
    <t>Shangdong</t>
  </si>
  <si>
    <t>Deyi Zhu</t>
  </si>
  <si>
    <t>Zdy@Kanfort.Com</t>
  </si>
  <si>
    <t>Part Of Heraeus Precious Metals Group And Has Passed Audit By Lbma</t>
  </si>
  <si>
    <t>Abc</t>
  </si>
  <si>
    <t>Pj-Usa</t>
  </si>
  <si>
    <t>Agr Matthey</t>
  </si>
  <si>
    <t>Anhui Tongling Non-Ferrous Pioneer Metals Corporation</t>
  </si>
  <si>
    <t>Anz</t>
  </si>
  <si>
    <t>Perth</t>
  </si>
  <si>
    <t>Jerry Hicks</t>
  </si>
  <si>
    <t>Kelly.Wishart@Anz.Com</t>
  </si>
  <si>
    <t>Refining Etc.</t>
  </si>
  <si>
    <t>Australia</t>
  </si>
  <si>
    <t>Au Plating_Samsung Sub_Ic</t>
  </si>
  <si>
    <t>Heesung Metal Ltd.</t>
  </si>
  <si>
    <t>Heraeus Ltd Hong Kong</t>
  </si>
  <si>
    <t>339 Settlement Road</t>
  </si>
  <si>
    <t>Thomastown</t>
  </si>
  <si>
    <t>Vic</t>
  </si>
  <si>
    <t>Nyrstar Metal</t>
  </si>
  <si>
    <t>Perth Mint (Western Australia Mint)</t>
  </si>
  <si>
    <t>131 Horrie Miller Drive</t>
  </si>
  <si>
    <t>David Woodford</t>
  </si>
  <si>
    <t>David.Woodford@Perthmint.Com.Au|David.Woodford@Perthmintrefinery.Com</t>
  </si>
  <si>
    <t>Australia|Western Australia</t>
  </si>
  <si>
    <t>Shengyi Technology.Co.,Ltd</t>
  </si>
  <si>
    <t>MKE</t>
  </si>
  <si>
    <t>Plansee Group</t>
  </si>
  <si>
    <t>Metallwerkplanseestrabe 71 6600 Reutte Austria</t>
  </si>
  <si>
    <t>Wolfram Bergbau Und Hutten Ag</t>
  </si>
  <si>
    <t>Jean Goldschmidt International</t>
  </si>
  <si>
    <t>Place De L'albertine,2</t>
  </si>
  <si>
    <t>Thomas.Dupont @Jean-Goldschmidt.Be</t>
  </si>
  <si>
    <t>Metallo Chimique</t>
  </si>
  <si>
    <t>Mineracao Taboca S.A.</t>
  </si>
  <si>
    <t>Umicore</t>
  </si>
  <si>
    <t>Umicore Beligium</t>
  </si>
  <si>
    <t>Broekstraat 31</t>
  </si>
  <si>
    <t>Mrs. Chantal De Bruyn</t>
  </si>
  <si>
    <t>Umicore Hoboken</t>
  </si>
  <si>
    <t>A.Greinerstraat 14, B-2660 - Hoboken, Belgium</t>
  </si>
  <si>
    <t>Koen Demesmaeker</t>
  </si>
  <si>
    <t>Preciousmetals@Umicore.Com</t>
  </si>
  <si>
    <t>Umicore Precious Metals Refining</t>
  </si>
  <si>
    <t>Em Vinto</t>
  </si>
  <si>
    <t>Km7.5 Carettera A Potosf Postal: 612</t>
  </si>
  <si>
    <t>Bolivia</t>
  </si>
  <si>
    <t>(591) 25278094</t>
  </si>
  <si>
    <t>Empresa Metallurgica Vinto,Empressa Ciol De Fundiciones (Ef),Complejo Metalurico Vinto S.A.</t>
  </si>
  <si>
    <t>Operaciones Metalurgica S.A.</t>
  </si>
  <si>
    <t>Best Metais E Soldas S.A.</t>
  </si>
  <si>
    <t>Abel Teixeira</t>
  </si>
  <si>
    <t>Verification Through Mjmcgrat@Us.Ibm.Com</t>
  </si>
  <si>
    <t>Cfc Cooperativa Dos Fundidores De Cassiterita Da Amazonia Ltda.</t>
  </si>
  <si>
    <t>Mina Bom Futuro - Linha C- 75, Km - 42 - Distrito De Bom Futuro</t>
  </si>
  <si>
    <t>Http://Www.Coopersanta.Com.Br/</t>
  </si>
  <si>
    <t>Funsur</t>
  </si>
  <si>
    <t>Ibf Ind Brasileira De Ferroligas Ltda</t>
  </si>
  <si>
    <t>Marsan</t>
  </si>
  <si>
    <t>Power And Signal A Distributor Of Delphi Automotive (Power And Signal Terms And Conditions Apply)</t>
  </si>
  <si>
    <t>Info@Umicore.Com</t>
  </si>
  <si>
    <t>Soft Metals Ltda</t>
  </si>
  <si>
    <t>Ariane</t>
  </si>
  <si>
    <t>Verification Through Mjmcgrat@Us.Ibm.Com|Not Disclosed</t>
  </si>
  <si>
    <t>Umicore Brasil Ltda</t>
  </si>
  <si>
    <t>White Solder Metalurgia E Mineracao Ltda.</t>
  </si>
  <si>
    <t>Aim</t>
  </si>
  <si>
    <t>9100 Henr-Bourassa Est</t>
  </si>
  <si>
    <t>Montreal</t>
  </si>
  <si>
    <t>Ccr Refinery – Glencore Canada Corporation</t>
  </si>
  <si>
    <t>100 King Street West, Suite 7200</t>
  </si>
  <si>
    <t>Paul Healey</t>
  </si>
  <si>
    <t>Phealey@Xstratacopper.Com</t>
  </si>
  <si>
    <t>Cfs Smelter Valid Until June 12, 2015, Audited By Lbma</t>
  </si>
  <si>
    <t>Recylced</t>
  </si>
  <si>
    <t>Cfsp Compliant Smelter</t>
  </si>
  <si>
    <t>Heraeus Gmbh</t>
  </si>
  <si>
    <t>Indonesian State Tin Corporation</t>
  </si>
  <si>
    <t>Johnson Matthey Ltd</t>
  </si>
  <si>
    <t>130 Glidden Rd</t>
  </si>
  <si>
    <t>Andy Mccullough</t>
  </si>
  <si>
    <t>Fax 905-454-6869</t>
  </si>
  <si>
    <t>Compliant Refiner</t>
  </si>
  <si>
    <t>North American Tungsten</t>
  </si>
  <si>
    <t>Vancouver</t>
  </si>
  <si>
    <t>British Columbia</t>
  </si>
  <si>
    <t>Harold Schwenk</t>
  </si>
  <si>
    <t>Waiting For Cfs List To Be Created For W.</t>
  </si>
  <si>
    <t>Williams Gold Refining Company</t>
  </si>
  <si>
    <t>Xstrata Canada Corporation Ccr Refinery</t>
  </si>
  <si>
    <t>220 Durochr Avenue Montreal East Quebec, Canada</t>
  </si>
  <si>
    <t>Audiua, Escardida</t>
  </si>
  <si>
    <t>Bhp Billion</t>
  </si>
  <si>
    <t>Codelco</t>
  </si>
  <si>
    <t>1CHL014</t>
  </si>
  <si>
    <t>1270 Huerfanos</t>
  </si>
  <si>
    <t>Santiago</t>
  </si>
  <si>
    <t>Socialmediaman@Codelco.Cl</t>
  </si>
  <si>
    <t>Sumitomo Metal Mining Co. Ltd.</t>
  </si>
  <si>
    <t>Yoo Chang Metal Industries Co Ltd.</t>
  </si>
  <si>
    <t>Acade Metals Co.,Ltd</t>
  </si>
  <si>
    <t>0535-8227500  Available Only</t>
  </si>
  <si>
    <t>Acade Noble Metal (Zhao Yuan) Corporation</t>
  </si>
  <si>
    <t>Yan Tai</t>
  </si>
  <si>
    <t>Shan Dong</t>
  </si>
  <si>
    <t>Academy Precious Metals (China) Co., Ltd.</t>
  </si>
  <si>
    <t>All Of Au In China Sourcse From(Sge)Shanghai Gold Exchange</t>
  </si>
  <si>
    <t>Tongling Non-Ferrous Circular Economy Industrial Park</t>
  </si>
  <si>
    <t>City Of Tongling</t>
  </si>
  <si>
    <t>Anhui Province;</t>
  </si>
  <si>
    <t>Aoki Laboratories Ltd</t>
  </si>
  <si>
    <t>Asahi Solder Tech (Wuxi) Co. Ltd.</t>
  </si>
  <si>
    <t>Baiyin Nonferrous Group Co.,Ltd</t>
  </si>
  <si>
    <t>96 Youhao Road</t>
  </si>
  <si>
    <t>Baiyin</t>
  </si>
  <si>
    <t>Mr Fok</t>
  </si>
  <si>
    <t>Hknetworkpower@Gmail.Com</t>
  </si>
  <si>
    <t>Beijing Zenith Materials</t>
  </si>
  <si>
    <t>Bolin Co.Ltd.Of Xi'an Univ.Of Arch.&amp;Tech</t>
  </si>
  <si>
    <t>Bright-E</t>
  </si>
  <si>
    <t>Chalco Yunnan Copper Co. Ltd.</t>
  </si>
  <si>
    <t>Wangjiaqiao, Wuhua District</t>
  </si>
  <si>
    <t>Changcheng Gold And Silver Refinery Co., Ltd.</t>
  </si>
  <si>
    <t>Changchun Up-Optech</t>
  </si>
  <si>
    <t>Changsanjiao Elc.</t>
  </si>
  <si>
    <t>Changzhou Chemical Research Institute Co. Ltd.</t>
  </si>
  <si>
    <t>Changzhou Ming Feng Hard Ware Connector Factory</t>
  </si>
  <si>
    <t>Chenzhou,Chenzhou Mining Group</t>
  </si>
  <si>
    <t>Cheong Hing</t>
  </si>
  <si>
    <t>Chernan Technology Co., Ltd</t>
  </si>
  <si>
    <t>Chi Golddeal</t>
  </si>
  <si>
    <t>Chi Sino-Platinum Metals Co.,Ltd</t>
  </si>
  <si>
    <t>China Gold International Resources Corp. Ltd</t>
  </si>
  <si>
    <t>China Golddeal</t>
  </si>
  <si>
    <t>Beijing</t>
  </si>
  <si>
    <t>China Guangdong Hetai Gold Mine</t>
  </si>
  <si>
    <t>China Minmetals Corp.</t>
  </si>
  <si>
    <t>China National Gold Group Corporation</t>
  </si>
  <si>
    <t>CID000242</t>
  </si>
  <si>
    <t>China National Non-Ferrous</t>
  </si>
  <si>
    <t>China Sino-Platinum Metals Co.,Ltd</t>
  </si>
  <si>
    <t>China's Nonferrous  Mining Group Co., Ltd</t>
  </si>
  <si>
    <t>Chaoyang District</t>
  </si>
  <si>
    <t>Tim.Liu</t>
  </si>
  <si>
    <t>China's Shangdong Gold Mining Co., Ltd</t>
  </si>
  <si>
    <t>Chinese Government</t>
  </si>
  <si>
    <t>Police Department</t>
  </si>
  <si>
    <t>Guang Dong</t>
  </si>
  <si>
    <t>Cloud Hunan, Chenzhou Ore Smelts The Information Of Contacting Of Co., Ltd.</t>
  </si>
  <si>
    <t>Conghua Tantalum And Niobium Smeltry</t>
  </si>
  <si>
    <t>Dayu Weiliang Tungsten Co.,Ltd</t>
  </si>
  <si>
    <t>35 Shuikousi Road,Nan'an Town</t>
  </si>
  <si>
    <t>Dayu County</t>
  </si>
  <si>
    <t>Dycrx@163.Com</t>
  </si>
  <si>
    <t>Deep Rich Material Technology Co., Ltd.</t>
  </si>
  <si>
    <t>Department Of Public Safety</t>
  </si>
  <si>
    <t>Dongguan Cameroon Chemical Materials Co., Ltd</t>
  </si>
  <si>
    <t>Humen, Dongguan City, Guangdong Province Ring Road Road Stuff</t>
  </si>
  <si>
    <t>Dongguan</t>
  </si>
  <si>
    <t>Mr. Zhang</t>
  </si>
  <si>
    <t>No Email, Only The Telephone:0379-66437150</t>
  </si>
  <si>
    <t>Dongguang Jinnji Precision Die Machine Inc.</t>
  </si>
  <si>
    <t>Dongguanshi Sutande Dianzi Cailiao Youxiangongsi</t>
  </si>
  <si>
    <t>Dong-Wo Co., Ltd.</t>
  </si>
  <si>
    <t>Plating Layer</t>
  </si>
  <si>
    <t>Dujinshui Zhihuan Fanying</t>
  </si>
  <si>
    <t>Duoxin</t>
  </si>
  <si>
    <t>East Jinding High-Tech Materials</t>
  </si>
  <si>
    <t>E-Chem Enterprise Corp.</t>
  </si>
  <si>
    <t>Edison Plating Technology Co.,Ltd</t>
  </si>
  <si>
    <t>Enan Zhongyuan Gold Smelter Limited Factory Any Company</t>
  </si>
  <si>
    <t>F&amp;X Electro-Materials Limited</t>
  </si>
  <si>
    <t>Yaxi Industrial</t>
  </si>
  <si>
    <t>Sales@Fxelectro.Com</t>
  </si>
  <si>
    <t>Five Gold Steel Material Processing Dongguan Tangxia Re- Sho</t>
  </si>
  <si>
    <t>Fujian Nanping</t>
  </si>
  <si>
    <t>88,West Canal</t>
  </si>
  <si>
    <t>353000 Nanping</t>
  </si>
  <si>
    <t>N/A</t>
  </si>
  <si>
    <t>Per EICC-Gesi Link Above - List Is Under Development For Tungsten</t>
  </si>
  <si>
    <t>Nanping</t>
  </si>
  <si>
    <t>Fujian Zijin Mining Stock Company Gold Smelter</t>
  </si>
  <si>
    <t>Gansu-Based Baiyin Nonferrous Metals Corporation (Bnmc)</t>
  </si>
  <si>
    <t>Ganzhou Grand Sea W And Mo Company</t>
  </si>
  <si>
    <t>No. 45, Dongyangshan Rd.</t>
  </si>
  <si>
    <t>Jiangxi Province</t>
  </si>
  <si>
    <t>Metalsrob@Hotmail.Com</t>
  </si>
  <si>
    <t>Ganzhou Grand Metals Minerals Industry Co.,Ltd</t>
  </si>
  <si>
    <t>Ganzhou Hongfei W&amp;Mo Materials Co.,Ltd.</t>
  </si>
  <si>
    <t>Im Schleeke, 78-9138642, Goslar, De</t>
  </si>
  <si>
    <t>Cindyshan@126.Com</t>
  </si>
  <si>
    <t>Ganzhou Huaxing Tungsten Products Co. Ltd.</t>
  </si>
  <si>
    <t>No. 58 Mafangxia 34100</t>
  </si>
  <si>
    <t>Ganzhou City</t>
  </si>
  <si>
    <t>Awaiting EICC Certification Process For W</t>
  </si>
  <si>
    <t>Ganzhou Non-Ferrous Metals Smelting Co., Ltd.</t>
  </si>
  <si>
    <t>45th Dongyangshan Road</t>
  </si>
  <si>
    <t>Nancy@Sinda-Tungsten.Com</t>
  </si>
  <si>
    <t>Geiju Non-Ferrous Metal Processing Co. Ltd.</t>
  </si>
  <si>
    <t>Jijie Town</t>
  </si>
  <si>
    <t>Wuytt@Yahoo.Com.Cn</t>
  </si>
  <si>
    <t>Gejiu Yunxi Croup Corp</t>
  </si>
  <si>
    <t>No.L2l, Jinhu East Rd., Gejiu</t>
  </si>
  <si>
    <t>Honghezizhizhou</t>
  </si>
  <si>
    <t>Gejiu Zili Metallurgy Co.</t>
  </si>
  <si>
    <t>No.121,Jinhu East Road</t>
  </si>
  <si>
    <t>Gejiu City</t>
  </si>
  <si>
    <t>Liu Sir</t>
  </si>
  <si>
    <t>Gold Bell Group</t>
  </si>
  <si>
    <t>West Road,</t>
  </si>
  <si>
    <t>Zhongshan County</t>
  </si>
  <si>
    <t>Confidential</t>
  </si>
  <si>
    <t>Gold Mining In Shandong(Laizhou)</t>
  </si>
  <si>
    <t>Gold Refinery Of Guangdong Gaoyao Hetai Gold Mine</t>
  </si>
  <si>
    <t>Gold Trading Company, Ltd.</t>
  </si>
  <si>
    <t>Golden Egret</t>
  </si>
  <si>
    <t>Gold-Zhaoyuan</t>
  </si>
  <si>
    <t>Gong An Ju</t>
  </si>
  <si>
    <t>Great Wall Gold &amp; Silver Refinery</t>
  </si>
  <si>
    <t>Guandong Jinding Material Co., Ltd.</t>
  </si>
  <si>
    <t>Gaoyao City</t>
  </si>
  <si>
    <t>Guangdong Province</t>
  </si>
  <si>
    <t>Guang Dong Jin Ding Advanced Materials Co.,Ltd(Guang Dong Huajian Trade Co.,Ltd)</t>
  </si>
  <si>
    <t>Guang Xi Hua Xi Corp</t>
  </si>
  <si>
    <t>Guangdong Gold Ding New Material Co.,Ltd</t>
  </si>
  <si>
    <t>Guangdong Grace Billion Kate Fine Chemical Co., Ltd.</t>
  </si>
  <si>
    <t>Guangdong Hua Jian Trade Do.,Ltd</t>
  </si>
  <si>
    <t>Guangdong Jin Xian Gao Xin Cai Liao Gong Si</t>
  </si>
  <si>
    <t>Guangdong Macro Jin Precious Metal Smelting Plant</t>
  </si>
  <si>
    <t>Guangdong Mingfa Precious Metal Co.,Ltd</t>
  </si>
  <si>
    <t>Guangdong Province Jinding Materials Co Ltd(Suzhou Xingrui Noble)</t>
  </si>
  <si>
    <t>Guangdong Xianglu Tungsten Industry Co., Ltd.</t>
  </si>
  <si>
    <t>Guangxi Pinggui Pgma Co., Ltd</t>
  </si>
  <si>
    <t>Guangzhou Jin Ding</t>
  </si>
  <si>
    <t>Gaoyao City ,Guangdong Province</t>
  </si>
  <si>
    <t>Mr. Xu Zhijun</t>
  </si>
  <si>
    <t>Htjk@Goldjd.Com</t>
  </si>
  <si>
    <t>Name Of Mine Not Disclosed; Not Recycled Or Scrap</t>
  </si>
  <si>
    <t>Location Of Mine Not Disclosed; Not Recycled Or Scrap</t>
  </si>
  <si>
    <t>All Gold In China Is Purchased By And Provided Through The Shanghai Gold Exchange And They Will Not Disclose Its Origin.</t>
  </si>
  <si>
    <t>Guangzhou King's High-Tech Materials</t>
  </si>
  <si>
    <t>Guixi Smelter</t>
  </si>
  <si>
    <t>Gusu Plating Co.,Led.</t>
  </si>
  <si>
    <t>Hai Rong Metal Products Ltd.</t>
  </si>
  <si>
    <t>Hanan Middle Plain Gold Smelt</t>
  </si>
  <si>
    <t>Hang Seng Technology</t>
  </si>
  <si>
    <t>Hanhua Jinshu</t>
  </si>
  <si>
    <t>He Nan San Men Xia Gold Smelting Plant</t>
  </si>
  <si>
    <t>Henan Zhongyuan Refinery &amp; Henan San Men Xia</t>
  </si>
  <si>
    <t>Zhang</t>
  </si>
  <si>
    <t>Email: Zyylc@Sohu.Com</t>
  </si>
  <si>
    <t>Henan Lingbao Gold Co., Ltd.</t>
  </si>
  <si>
    <t>Zhengzhou City</t>
  </si>
  <si>
    <t>Henan Province</t>
  </si>
  <si>
    <t>China Erqi District</t>
  </si>
  <si>
    <t>牛博</t>
  </si>
  <si>
    <t>Lemon_8688@163.Com</t>
  </si>
  <si>
    <r>
      <t>?</t>
    </r>
    <r>
      <rPr>
        <sz val="11"/>
        <color rgb="FF000000"/>
        <rFont val="MS Gothic"/>
        <family val="3"/>
      </rPr>
      <t>宝金</t>
    </r>
    <r>
      <rPr>
        <sz val="11"/>
        <color rgb="FF000000"/>
        <rFont val="宋体"/>
        <family val="2"/>
        <scheme val="minor"/>
      </rPr>
      <t>?</t>
    </r>
  </si>
  <si>
    <t>Henan Middle Plain Gold Smelter</t>
  </si>
  <si>
    <t>Henan Province In Gold Investment Management Ltd.</t>
  </si>
  <si>
    <t>Henan Sanmenxia Lingbao Jinyuan Mining Co., Ltd.</t>
  </si>
  <si>
    <t>Henan Yuguang Gold &amp; Lead Co., Ltd.</t>
  </si>
  <si>
    <t>Heraeus (Zhaoyuan) Precious Metals Materials Co., Ltd.</t>
  </si>
  <si>
    <t>Heraeus Shin-Etsu Quartz (China) Inc.</t>
  </si>
  <si>
    <t>Heraeus Zhaoyuan (Changshu) Electronic Materials Co.,Ltd.</t>
  </si>
  <si>
    <t>Huang Pu Jiang Road Of Changshu China</t>
  </si>
  <si>
    <t>-</t>
  </si>
  <si>
    <t>Http://Www.Sge.Sh/Piblish/Sge/</t>
  </si>
  <si>
    <t>Hzpm@Heraeus.Com</t>
  </si>
  <si>
    <t>Argor-Heraeus Sa</t>
  </si>
  <si>
    <t>Isohara Works    Http://Www.Nmm.Jx-Group.Co.Jp/English/Sustainability/Pdf/Report2011_E_Full_Economic_Activities.Pdf</t>
  </si>
  <si>
    <t>Hetai Gold Mineral Guangdong</t>
  </si>
  <si>
    <t>High Quality Technology Co., Ltd</t>
  </si>
  <si>
    <t>Hiroshima East Jinding Tech Materials</t>
  </si>
  <si>
    <t>Hml Hathaways Limited</t>
  </si>
  <si>
    <t>Hon Shen Co. Ltd</t>
  </si>
  <si>
    <t>Hong Da Qiu</t>
  </si>
  <si>
    <t>Honorable Hardware Craft Product Limited Company</t>
  </si>
  <si>
    <t>Huanggang City Tongding Metallic Material Co.Ltd</t>
  </si>
  <si>
    <t>Huichang Jinshunda Tin Co., Ltd</t>
  </si>
  <si>
    <t>Huizhou Baoyuhua Electronics Co.,Ltd</t>
  </si>
  <si>
    <t>No148 Xiaoxia Road</t>
  </si>
  <si>
    <t>Xintang Town</t>
  </si>
  <si>
    <t>Hengdong County,Hunan,P.R.C.</t>
  </si>
  <si>
    <r>
      <t>Tel</t>
    </r>
    <r>
      <rPr>
        <sz val="11"/>
        <color rgb="FF000000"/>
        <rFont val="MS Gothic"/>
        <family val="3"/>
      </rPr>
      <t>＝</t>
    </r>
    <r>
      <rPr>
        <sz val="11"/>
        <color rgb="FF000000"/>
        <rFont val="宋体"/>
        <family val="2"/>
        <scheme val="minor"/>
      </rPr>
      <t xml:space="preserve"> 0086-734-5388153</t>
    </r>
  </si>
  <si>
    <t>Chun-Chang Non-Ferrous Smelting &amp; Concentrating Co., Ltd.</t>
  </si>
  <si>
    <t>Hundsun Technologies Inc.</t>
  </si>
  <si>
    <t>Hung Cheong Metal Manufacturing Limited</t>
  </si>
  <si>
    <t>Icbc</t>
  </si>
  <si>
    <t>No 55 Fu Xi Men Nei Street</t>
  </si>
  <si>
    <t>Xicheng District</t>
  </si>
  <si>
    <t>Island Gold Refinery</t>
  </si>
  <si>
    <t>Jiangsu Sue Large Special Chemical Reagent Co., Ltd</t>
  </si>
  <si>
    <t>Jiangxi Yichun</t>
  </si>
  <si>
    <t>Yuanzhou Distict</t>
  </si>
  <si>
    <t>Yinchun 336003</t>
  </si>
  <si>
    <t>Jiangxishunda Huichang Kam Tin Co., Ltd.</t>
  </si>
  <si>
    <t>Huichang County</t>
  </si>
  <si>
    <t>0797-6574395</t>
  </si>
  <si>
    <t>Jie Sheng</t>
  </si>
  <si>
    <t>Jin Dong Heng</t>
  </si>
  <si>
    <t>Jin Jinyin Refining Company Limited</t>
  </si>
  <si>
    <t>Jinbao Electronic Co.,Ltd.</t>
  </si>
  <si>
    <t>Jinfeng Gold Mine Smelter</t>
  </si>
  <si>
    <t>Jinlong Copper Co., Ltd.</t>
  </si>
  <si>
    <t>Jiujiang Jinxin Nonferrous Metals Co. Ltd.</t>
  </si>
  <si>
    <t>Room 1101,Oriental Junotower,Changhong Road 198#</t>
  </si>
  <si>
    <t>Jiujiang City</t>
  </si>
  <si>
    <t>Info@Jiujiangjx.Com</t>
  </si>
  <si>
    <t>Request Jinxin To Obtain EICC Certification In 2013</t>
  </si>
  <si>
    <t>Kanfort Industrial (Yantai) Co. Ltd.</t>
  </si>
  <si>
    <t>Kangqiang Electronics Co.,Ltd.</t>
  </si>
  <si>
    <t>Kee Shing</t>
  </si>
  <si>
    <t>Kim Lai Fook Smelting Corporation</t>
  </si>
  <si>
    <t>Zhaoyuan City</t>
  </si>
  <si>
    <t>Kunshan Jinli Chemical Industry Reagents China</t>
  </si>
  <si>
    <t>Laibin Smeltery Of Liuzhou China Tin Group Co.,Ltd.</t>
  </si>
  <si>
    <t>Laizhou,Shandong</t>
  </si>
  <si>
    <t>Lifu Precious Metals Company Limited</t>
  </si>
  <si>
    <t>Linglong Gold Mine</t>
  </si>
  <si>
    <t>Linqu Xianggui Smelter Co. Ltd.</t>
  </si>
  <si>
    <t>Fen Chen Zhou City, Hunan Province, City, Township, South Of The Village Linwu</t>
  </si>
  <si>
    <t>Liuzhou China Tin</t>
  </si>
  <si>
    <t>Lai Bin River West Industrial Park</t>
  </si>
  <si>
    <t>Laibin City</t>
  </si>
  <si>
    <t>Guangxi Autonomous Region,China</t>
  </si>
  <si>
    <t>Gxhxly2010@163.Com</t>
  </si>
  <si>
    <t>Verification In Coordination Through Anthony.Depaoli@Amkor.Com|Verification Through Mjmcgrat@Us.Ibm.Com|Not Disclosed|Tin Cfs List Is Still Under Development And Not Published Yet|The Supplier Is EICC Member|Confidential</t>
  </si>
  <si>
    <t>China (Guangxi Area)|Not Disclosed|Confidential|The Supplier Is EICC Member|China, Indonesia</t>
  </si>
  <si>
    <t>China (Guangxi Area)|China, Indonesia |Confidential|Solder Ball|Substrate</t>
  </si>
  <si>
    <t>Ltd. Gold Trading Company</t>
  </si>
  <si>
    <t>Luo Men Ha Si</t>
  </si>
  <si>
    <t>Macderlun</t>
  </si>
  <si>
    <t>Maite Long</t>
  </si>
  <si>
    <t>Material Technology Co., Ltd. Shenzhen Fu Chun</t>
  </si>
  <si>
    <t>Metalor Coatings (Shanghai) Co. Ltd.</t>
  </si>
  <si>
    <t>Ming Li Jia Smelt Metal Factory</t>
  </si>
  <si>
    <t>Mits-Tec (Shanghai) Co. Ltd.</t>
  </si>
  <si>
    <t>Monopoly Ltd. Zhuhai Toxic Materials</t>
  </si>
  <si>
    <t>Nanchang Cemented Carbide Limited Liability Company</t>
  </si>
  <si>
    <t>11733,Shuang Gang East Road Economy&amp;Technology Development Zone</t>
  </si>
  <si>
    <t>Nanchang</t>
  </si>
  <si>
    <t>Jiangxi P.R. China 330013</t>
  </si>
  <si>
    <t>Nccp603@21cn.Com</t>
  </si>
  <si>
    <t>Per EICC-Gesi Link Above - List Is Under Development For Tungsten|Nccp603@Hotmail.Com</t>
  </si>
  <si>
    <t>Gan Bei Tungsten Industry Co., Ltd.|We Will Keep Tracing The EICC's Tungsten Certification Of Smelters</t>
  </si>
  <si>
    <t>China|Gan Bei Tungsten Industry Co., Ltd.|Gan Bei Tungsten Industry Co Ltd</t>
  </si>
  <si>
    <t>Nanchuang Shenghua Non-Ferrous Meatal Alloy Factory</t>
  </si>
  <si>
    <t>Nbaic</t>
  </si>
  <si>
    <t>Ningbo Kangqiang</t>
  </si>
  <si>
    <t>Ningbo Yinzhou Ningbo Of Precious Metal Recycling Plant</t>
  </si>
  <si>
    <t>Ninghua Xingluokeng Tungsten Mining Co.,Lid</t>
  </si>
  <si>
    <t>Hucun Town,Ninghua County</t>
  </si>
  <si>
    <t>Sanming City</t>
  </si>
  <si>
    <t>Info@Gsht.Cn</t>
  </si>
  <si>
    <t>P.O. Box 105</t>
  </si>
  <si>
    <t>Ningxia 73000, Pr Of China</t>
  </si>
  <si>
    <t>Hbin@Otic.Com.En</t>
  </si>
  <si>
    <t>Not From The "Conflict Region" - EICC-Gesi Smelter</t>
  </si>
  <si>
    <t>No.102,Qingliang Rd.,Changzhou</t>
  </si>
  <si>
    <t>Norsun Circuited Enterprise Co., Ltd</t>
  </si>
  <si>
    <t>Psb</t>
  </si>
  <si>
    <t>Public Security Bureau</t>
  </si>
  <si>
    <t>Yangtze Delta Industrial Zone</t>
  </si>
  <si>
    <t>Taizhou</t>
  </si>
  <si>
    <t>Smelter List_8/Plating Material/Ant</t>
  </si>
  <si>
    <t>Qiankun Gold And Silver</t>
  </si>
  <si>
    <t>Realized The Enterprise Co., Ltd.</t>
  </si>
  <si>
    <t>Refinery Of Shangdong Gold Mining Co.Ltd.</t>
  </si>
  <si>
    <t>Recycled/Scrap;China</t>
  </si>
  <si>
    <t>Rfh Tantalum Smeltry Co., Ltd</t>
  </si>
  <si>
    <t>Ritchie Trick(Changshu) Sub Materials Co., Ltd.</t>
  </si>
  <si>
    <t>Rohm &amp; Hass</t>
  </si>
  <si>
    <t>Rongda</t>
  </si>
  <si>
    <t>Saint Chemical Industrial Raw Materials Ok</t>
  </si>
  <si>
    <t>Sandong Zhao Jin Bullion Refinery Ltd.</t>
  </si>
  <si>
    <t>No. 289, Jinhui Road, Gold Industrial Zone</t>
  </si>
  <si>
    <t>Applicable</t>
  </si>
  <si>
    <t>Sanmenxia Hengsheng Science Technology R&amp;D Co.Ltd</t>
  </si>
  <si>
    <t>Fenshan Road North,Dizhu Road West</t>
  </si>
  <si>
    <t>Sge (Shanghai Gold Exchange) - Gold Transaction Authorities In China</t>
  </si>
  <si>
    <t>Shan Dong Huangjin</t>
  </si>
  <si>
    <t>Shan Tou Shi Yong Yuan Jin Shu Zai Sheng Co. Ltd.</t>
  </si>
  <si>
    <t>Shantou, Guangdong, China</t>
  </si>
  <si>
    <t>Recover</t>
  </si>
  <si>
    <t>Shandon Jin Jinyin Refining Limited</t>
  </si>
  <si>
    <t>Shandong  Zhongkuang  Group  Co  Ltd</t>
  </si>
  <si>
    <t>Shandong Gold Group Co.,Ltd.</t>
  </si>
  <si>
    <t>Sukun Sun</t>
  </si>
  <si>
    <t>Sunsk@Sd-Gold.Com &lt;Sunsk@Sd-Gold.Com&gt;</t>
  </si>
  <si>
    <t>Shandong Hengbang Smelter Co.,Ltd</t>
  </si>
  <si>
    <t>Shandong Huangjin Group Company Ltd.</t>
  </si>
  <si>
    <t>Shandong Humon Smelting Co., Ltd.</t>
  </si>
  <si>
    <t>Shandong Jun Mai Fu</t>
  </si>
  <si>
    <t>Shandong Penglai Gold Smelter</t>
  </si>
  <si>
    <t>Shandong Yantai Recruit Jinli Vice Co.,Ltd</t>
  </si>
  <si>
    <t>Shandong Zhaojin Lifu</t>
  </si>
  <si>
    <t>Linlong Road</t>
  </si>
  <si>
    <t>Kemin Liu</t>
  </si>
  <si>
    <t>Kemin.Liu@Heraeus.Com</t>
  </si>
  <si>
    <t>Shang Hai Gold Trader</t>
  </si>
  <si>
    <t>Shangdong Gold Mining (Laizhou)</t>
  </si>
  <si>
    <t>Shangdong Zhaojin Group Zhaoyuan Gold Refining Co., Ltd.</t>
  </si>
  <si>
    <t>Shangdong Zhaoyuanzhaojin Company</t>
  </si>
  <si>
    <t>Shanghai Dashou Electronics Co.,Ltd</t>
  </si>
  <si>
    <t>Shanghai Gold Exchange</t>
  </si>
  <si>
    <t>No.99 Middle Henan Road, Shanghai, China</t>
  </si>
  <si>
    <t>Sge@Sge.Com.Cn</t>
  </si>
  <si>
    <t>86-21-33189588</t>
  </si>
  <si>
    <t>Shanghai Jinsha Shiye Co.,Ltd.</t>
  </si>
  <si>
    <t>Shanghai Kyocera Electronics Co., Ltd.</t>
  </si>
  <si>
    <t>Shanghai Yuanhao Surface Finishing Co. Ltd.</t>
  </si>
  <si>
    <t>Shanghai Yueqiang Metal Products Co., Ltd</t>
  </si>
  <si>
    <t>Shanghi Gold Exchange</t>
  </si>
  <si>
    <t>Share Zhaojin Mining Industry Co., Ltd</t>
  </si>
  <si>
    <t>Shen Zhen Thousand Island Ltd.</t>
  </si>
  <si>
    <t>Shenxhen Tiancheng Chemical Co Ltd</t>
  </si>
  <si>
    <t>Shenzhen Baoan District Public Security Bureau</t>
  </si>
  <si>
    <t>Shenzhen Bestfoil Material Technology Co.,Ltd</t>
  </si>
  <si>
    <t>Shenzhen Chemicals Light Industry Co., Ltd.</t>
  </si>
  <si>
    <t>Shenzhen Fujun Material Technology Co,Ltd</t>
  </si>
  <si>
    <t>Shenzhen Hao Hardware Plastic Co., Ltd</t>
  </si>
  <si>
    <t>Shenzhen Heng Zhong Industry Co.,Ltd.</t>
  </si>
  <si>
    <t>#1 Minxing  Industrial Zone, Zhiminkang Road, Baoan District</t>
  </si>
  <si>
    <t>Shenzhen</t>
  </si>
  <si>
    <t>Shenzhen Hua Ao Surface Treatment Technology Co., Ltd.</t>
  </si>
  <si>
    <t>Shenzhen Jinjunwei Resource Comprehensive Development Co., Ltd</t>
  </si>
  <si>
    <t>Shenzhen Kuril Metal Company</t>
  </si>
  <si>
    <t>Shenzhen Lianfeng Hardware Plastic Co.,Ltd-Tianliang Plating Factory</t>
  </si>
  <si>
    <t>Hai Tian Industrial District Lao Wei Ping Di Liu Lian Long Gang Shenzhen City Chi</t>
  </si>
  <si>
    <t>Shenzhen Surface Science Technology Co., Ltd.</t>
  </si>
  <si>
    <t>Shenzhen Thousand Island Ltd.</t>
  </si>
  <si>
    <t>Shen Zhen</t>
  </si>
  <si>
    <t>Shenzhen Tiancheng Chemical Co Ltd</t>
  </si>
  <si>
    <t>Shenzhen Urban Pubic Bureau Of China</t>
  </si>
  <si>
    <t>Police Dept</t>
  </si>
  <si>
    <t>Shenzhen Zhengtiianwei Techndlogzes.Co.Limited</t>
  </si>
  <si>
    <t>Shenzhen Zhonghenglong Real Industry Co., Ltd.</t>
  </si>
  <si>
    <t>Shuer Der Industry (Jiangsu) Co. Ltd.</t>
  </si>
  <si>
    <t>Sincemat Co, Ltd</t>
  </si>
  <si>
    <t>Sino-Platinum Metals Co.,Ltd</t>
  </si>
  <si>
    <t>Ske (China): Shanghai Kyocera Electronics Co. Ltd.</t>
  </si>
  <si>
    <t>Soochow University's</t>
  </si>
  <si>
    <t>Standard (Group) Ltd</t>
  </si>
  <si>
    <t>Stender Electronic Materials Co., Ltd. Of Dongguan City</t>
  </si>
  <si>
    <t>Changshu</t>
  </si>
  <si>
    <r>
      <t>?</t>
    </r>
    <r>
      <rPr>
        <sz val="11"/>
        <color rgb="FF000000"/>
        <rFont val="MS Gothic"/>
        <family val="3"/>
      </rPr>
      <t>利氏招</t>
    </r>
    <r>
      <rPr>
        <sz val="11"/>
        <color rgb="FF000000"/>
        <rFont val="宋体"/>
        <family val="2"/>
        <scheme val="minor"/>
      </rPr>
      <t>??</t>
    </r>
    <r>
      <rPr>
        <sz val="11"/>
        <color rgb="FF000000"/>
        <rFont val="MS Gothic"/>
        <family val="3"/>
      </rPr>
      <t>金属材料有限公司</t>
    </r>
  </si>
  <si>
    <t>Shan Dong  China</t>
  </si>
  <si>
    <t>Substrate</t>
  </si>
  <si>
    <t>Suzhou Industrial Park In China</t>
  </si>
  <si>
    <t>Suzhou Shenchuang Recycling Ltd.</t>
  </si>
  <si>
    <t>Suzhou University Special Chemical Reagent Industry Co.</t>
  </si>
  <si>
    <t>Suzhou Xingrui Noble</t>
  </si>
  <si>
    <t>Swiss Metalor Group</t>
  </si>
  <si>
    <t>Tai Zhou Chang San Jiao Electron Co.,Ltd</t>
  </si>
  <si>
    <t>Taicang City Nancang Metal Meterial Co.,Ltd</t>
  </si>
  <si>
    <t>Taian Village Nanjiao Chengxiangtown</t>
  </si>
  <si>
    <t>Taicangcity</t>
  </si>
  <si>
    <t>Jiangsu Provincial</t>
  </si>
  <si>
    <t>Ncjs@Tcncjs.Com</t>
  </si>
  <si>
    <t>Taizhou Chang San Jiao Electric Company</t>
  </si>
  <si>
    <t>Taizhou Changsanjiao Co.,Ltd</t>
  </si>
  <si>
    <t>Taizhou City Long Triangle Electronics Co.,Ltd.</t>
  </si>
  <si>
    <t>Tai'zhou City Yangtze River Delta Electron Ltd.</t>
  </si>
  <si>
    <t>Taizhou Delta Eectronics Co., Ltd.</t>
  </si>
  <si>
    <t>Taizhou Yangtze River Delta Electronic Co.,Ltd</t>
  </si>
  <si>
    <t>Taizhouchang San Jiao Electric Company</t>
  </si>
  <si>
    <t>Talcang City Nankang Metal Materila Co., Ltd</t>
  </si>
  <si>
    <t>Tanaka Electronics (Hangzhou)Co.Ltd</t>
  </si>
  <si>
    <t>F1 Area, West No.19 Stream, North No.10 Street, Hangzhou Economic&amp;Technological Development Zone</t>
  </si>
  <si>
    <t>Hangzhou</t>
  </si>
  <si>
    <t>Yanfei</t>
  </si>
  <si>
    <t>Yanfei@Tanaka.Com.Cn</t>
  </si>
  <si>
    <t>The Gold Smelter Of Guangdong, Gao Yao He Tai Gold Mining</t>
  </si>
  <si>
    <t>Gao Yao He Tai Town</t>
  </si>
  <si>
    <t>The Swiss Metalor Group</t>
  </si>
  <si>
    <t>Tian Cheng</t>
  </si>
  <si>
    <t>Tong Ding Metal Company. Ltd.</t>
  </si>
  <si>
    <t>B2-502</t>
  </si>
  <si>
    <t>Huanggang</t>
  </si>
  <si>
    <t>Sales@Tongding.Com.Cn</t>
  </si>
  <si>
    <t>Tong Ling Jin Dian Electrical Technology Co. Ltd.</t>
  </si>
  <si>
    <t>Transaction Authorities In Chaina</t>
  </si>
  <si>
    <t>United States Of America Univertical International (Suzhou) Co., Ltd</t>
  </si>
  <si>
    <t>Univertical International (Suzhou) Co., Ltd</t>
  </si>
  <si>
    <t>No.567, Jinfeng Road, High-Tech Industry Development Zone</t>
  </si>
  <si>
    <t>Su Zhou</t>
  </si>
  <si>
    <t>Jang Su</t>
  </si>
  <si>
    <t>Wenming_Zhou@Mainsuper.Com</t>
  </si>
  <si>
    <t>Viagra Di Precious Metals (Zhaoyuan) Co., Ltd.</t>
  </si>
  <si>
    <t>Wave City State Yong Metal Recycling Plant</t>
  </si>
  <si>
    <t>Wieland Metals Shanghai Ltd.</t>
  </si>
  <si>
    <t>Wu Xi Shi Yi Zheng Ji Xie She Bei Company</t>
  </si>
  <si>
    <t>Yixing, Jiangsu, China</t>
  </si>
  <si>
    <t>Wuxi Middle Treasure Materials</t>
  </si>
  <si>
    <t>Wuxi Yunxi</t>
  </si>
  <si>
    <t>Wuzhong Group</t>
  </si>
  <si>
    <t>Xiamen Golden Egret Special Alloy Co. Ltd.</t>
  </si>
  <si>
    <t>Xiamen Honglu Tungsten Molybdenum Industry Co., Ltd.</t>
  </si>
  <si>
    <t>Xiamen Jinbo Metal Co., Ltd.</t>
  </si>
  <si>
    <t>Xiamen Police Station</t>
  </si>
  <si>
    <t>Not Disclosede</t>
  </si>
  <si>
    <t>Hth</t>
  </si>
  <si>
    <t>No.298, Haijing Road, Haicang District, Xiamen</t>
  </si>
  <si>
    <t>Liu.Renfeng@Cxtc.Com</t>
  </si>
  <si>
    <t>Scrap|North American Tungsten Corporation Ltd.|Business Confidential</t>
  </si>
  <si>
    <t>China|Canada|Thailand|Russia</t>
  </si>
  <si>
    <t>Xian Jiandabolin Keji Youxiangongsi</t>
  </si>
  <si>
    <t>Wang Zhibiao</t>
  </si>
  <si>
    <t>Substance In Plating</t>
  </si>
  <si>
    <t>Xihai</t>
  </si>
  <si>
    <t>Xin Tongding</t>
  </si>
  <si>
    <t>Kunshan</t>
  </si>
  <si>
    <t>Ksxtd-Ltl@163.Com</t>
  </si>
  <si>
    <t>Xin Wang Copper Smelter</t>
  </si>
  <si>
    <t>Daye Thoroughfare</t>
  </si>
  <si>
    <t>Xinye Co. Ltd</t>
  </si>
  <si>
    <t>Yaitai,Shandong Recruits The Incorporated Company Of The Gold Li Blessing Precious Metal</t>
  </si>
  <si>
    <t>Yan Thai Zhaojin Kanfort Precision Motals Incorporated Company</t>
  </si>
  <si>
    <t>Yangtai Zhaojin Kanfort Precious Metals Co., Ltd</t>
  </si>
  <si>
    <t>Yangzhou Genesis</t>
  </si>
  <si>
    <t>Yantai Guodasafina High-Tech Environmental Refinery Co., Ltd.</t>
  </si>
  <si>
    <t>168  State Dale</t>
  </si>
  <si>
    <t>Yantai Kanfort Metal Co., Ltd.</t>
  </si>
  <si>
    <t>Huangjin Industrial Zone, Zhaoyuan, Yantai, Shandong, China</t>
  </si>
  <si>
    <t>Yantai Recruit Jin Lifu Precious Metals Co., Ltd</t>
  </si>
  <si>
    <t>Zhaoyuan City Road No. 288</t>
  </si>
  <si>
    <t>Yantai The Country Large Safina High-Tech Environmental Refinery Co. Ltd.</t>
  </si>
  <si>
    <t>Yantai Zhaojin Lai Fuk Precious Metals,Ltd</t>
  </si>
  <si>
    <t>Zhao Yuan</t>
  </si>
  <si>
    <t>Wenming_Zhou</t>
  </si>
  <si>
    <t>Yantai Zhaojinlifu Expensive Metal Co. Ltd</t>
  </si>
  <si>
    <t>Yoo Chang Metal</t>
  </si>
  <si>
    <t>Ytmm</t>
  </si>
  <si>
    <t>121 E.Jinhu Road</t>
  </si>
  <si>
    <t>Yunnan,</t>
  </si>
  <si>
    <t>Yunnan China</t>
  </si>
  <si>
    <t>Yuh-Cheng Material Corporation</t>
  </si>
  <si>
    <t>Yunan Tin Group</t>
  </si>
  <si>
    <t>Yunnan Chengfeng Color Metal Co.,Ltd.</t>
  </si>
  <si>
    <t>Yunnan Chengfeng Non-Ferrous Metals Co.,Ltd.</t>
  </si>
  <si>
    <t>Yunnan Metallurgical Group Co., Ltd</t>
  </si>
  <si>
    <t>Yunnan Tin Company Limited</t>
  </si>
  <si>
    <t>Yunnan Province</t>
  </si>
  <si>
    <t>Taixiong.Ning</t>
  </si>
  <si>
    <t>Taixiong,Ning@Ytl.Com.Cn</t>
  </si>
  <si>
    <t>No Applicable</t>
  </si>
  <si>
    <t>Yunnanchengfeng Color Metal Co.,Ltd.</t>
  </si>
  <si>
    <t>Yunxi</t>
  </si>
  <si>
    <t>Zhangzhou Xiangcheng Hongyu Building Co., Ltd.</t>
  </si>
  <si>
    <t>Xinhua North Road, Zhangzhou City, Fujian, China 64</t>
  </si>
  <si>
    <t>Zhao Jin Lifu</t>
  </si>
  <si>
    <t>Zhao Jin Mining Industry Co.'Ltd</t>
  </si>
  <si>
    <t>Zhao Yuan Gold Smelter Of Zhongjin Gold Corporation</t>
  </si>
  <si>
    <t>Confirm Missing Info W/ Supplier; Encourage Supplier To Encourage Smelter To Register With EICC</t>
  </si>
  <si>
    <t>Zhaojin Gold &amp; Silver Refinery Co.,Ltd</t>
  </si>
  <si>
    <t>Zhaojin Gold Argentine Refining Company Limited</t>
  </si>
  <si>
    <t>No.289 Jinhui Road, Zhaoyuan Gold Industrial Park</t>
  </si>
  <si>
    <t>Song Lili Tel: 0535-8162552</t>
  </si>
  <si>
    <t>Zhaojin Group &amp; Gold Mineral China Co., Ltd.</t>
  </si>
  <si>
    <t>299 Jinhui Road, Zhaoyuan City, Shandong Province</t>
  </si>
  <si>
    <t>Zhaojin Group Co., Ltd</t>
  </si>
  <si>
    <t>Zhaojin Kanfort Precious Metals Incorporated Company</t>
  </si>
  <si>
    <t>Gaofengyu</t>
  </si>
  <si>
    <t>Zjlifu@Kanfort.Com</t>
  </si>
  <si>
    <t>Zhaojin Lai Fuk Precious Metals Limited</t>
  </si>
  <si>
    <t>Mr Lang</t>
  </si>
  <si>
    <t>Tel:0535-8266009</t>
  </si>
  <si>
    <t>Zhaojin, Zhaoyuan</t>
  </si>
  <si>
    <t>No.289 Jinhui Road, Zhaoyuan Gold Industrial Park, China</t>
  </si>
  <si>
    <t>Manger Li</t>
  </si>
  <si>
    <t>Scb@Zhaojin.Cn</t>
  </si>
  <si>
    <t>Zhaojun Maifu</t>
  </si>
  <si>
    <t>Zhaoyuan Gold Mine</t>
  </si>
  <si>
    <t>Zhaoyuan Lifushiye Co., Ltd</t>
  </si>
  <si>
    <t>Zhaoyuan Zhaojin,Shandong,Chi</t>
  </si>
  <si>
    <t>Bonding Wire</t>
  </si>
  <si>
    <t>Zhe Jiang Guang Yuan Noble Metal Smelting Factory</t>
  </si>
  <si>
    <t>Zhejiang Suijin</t>
  </si>
  <si>
    <t>Zhongjin Gold Corp. Ltd.</t>
  </si>
  <si>
    <t>Zhongkuang Gold Industry Limited Company</t>
  </si>
  <si>
    <t>Zhongshan Hyper-Toxic Substance.Morwpoliced.Co.Ltd</t>
  </si>
  <si>
    <t>Zhongshan Public Security Bureau, Guangdong Province ,China</t>
  </si>
  <si>
    <t>Zhongshan</t>
  </si>
  <si>
    <t>Zhuhai Horyison Solder Co.,Ltd</t>
  </si>
  <si>
    <t>Zhuhai Poison Material Proprietary Co., Ltd.</t>
  </si>
  <si>
    <t>Zhuzhou Cemented Carbide Works Imp.&amp;Exp. Co</t>
  </si>
  <si>
    <t>Diamond Road, Hetang District</t>
  </si>
  <si>
    <t>Huanan</t>
  </si>
  <si>
    <t>Xiaowq@Chinacarbide.Com</t>
  </si>
  <si>
    <t>Shizhuyuan Mine</t>
  </si>
  <si>
    <t>Zhuzhou Smelter Group Co., Ltd</t>
  </si>
  <si>
    <t>Zi Jin Yinhui Gold Smelters In Luoyang</t>
  </si>
  <si>
    <t>Safina</t>
  </si>
  <si>
    <t>Ethiopian Minerals Development Share Company</t>
  </si>
  <si>
    <t>Bole Kefleketema</t>
  </si>
  <si>
    <t>Kebele 05,Near By Awraris Hotel</t>
  </si>
  <si>
    <t>Addis Ababa</t>
  </si>
  <si>
    <t>Mamoyewubdar@Yahoo.Com</t>
  </si>
  <si>
    <t>Kenticha</t>
  </si>
  <si>
    <t>Ethiopia</t>
  </si>
  <si>
    <t>Ercei</t>
  </si>
  <si>
    <t>Linxens</t>
  </si>
  <si>
    <t>Metalor France</t>
  </si>
  <si>
    <t>MPF</t>
  </si>
  <si>
    <t>Orelec</t>
  </si>
  <si>
    <t>Atotech</t>
  </si>
  <si>
    <t>Core Pmg</t>
  </si>
  <si>
    <t>Degussa</t>
  </si>
  <si>
    <t>Esg Edelmetallservice Gmbh &amp; Co. Kg</t>
  </si>
  <si>
    <t>Gewerbering 29b, D-76287</t>
  </si>
  <si>
    <t>Rheinstetten</t>
  </si>
  <si>
    <t>Dominik Lochmann</t>
  </si>
  <si>
    <t>Info@Scheideanstalt.De</t>
  </si>
  <si>
    <t>Feinhütte Halsbrücke Gmbh</t>
  </si>
  <si>
    <t>H.C. Starck Gmbh</t>
  </si>
  <si>
    <t>In Schleeke 78-91</t>
  </si>
  <si>
    <t>Goslar/Germany</t>
  </si>
  <si>
    <t>Guido.Klages@Hcstarck.Com</t>
  </si>
  <si>
    <t>Heimerdinger</t>
  </si>
  <si>
    <t>Heraeus Germany</t>
  </si>
  <si>
    <t>Heraeusstrasse 12-14</t>
  </si>
  <si>
    <t>Heraeus Materials Technology Gmbh&amp;Co.Kg</t>
  </si>
  <si>
    <t>Heareusstrasse, 12-15</t>
  </si>
  <si>
    <t>D-63450 Hanau</t>
  </si>
  <si>
    <t>D-63450 Hanau Germany</t>
  </si>
  <si>
    <t>Mr. Zumpfe Alexander</t>
  </si>
  <si>
    <t>Alexander.Zumpfe@Heraeus.Com</t>
  </si>
  <si>
    <t>Hmg</t>
  </si>
  <si>
    <t>Kyocera</t>
  </si>
  <si>
    <t>Lbma</t>
  </si>
  <si>
    <t>Lmba</t>
  </si>
  <si>
    <t>Thomas Schwager</t>
  </si>
  <si>
    <t>Thomas.Schwager@Heraeus.Com</t>
  </si>
  <si>
    <t>Martin Lienhard</t>
  </si>
  <si>
    <t>Metalor Germany</t>
  </si>
  <si>
    <t>Micronas Gmbh</t>
  </si>
  <si>
    <t>Norddeutsche Affinererie Ag</t>
  </si>
  <si>
    <t>Omg Galvanotechnik</t>
  </si>
  <si>
    <t>O-Well Corporation</t>
  </si>
  <si>
    <t>Schloetter Co Ltd</t>
  </si>
  <si>
    <t>Schoot</t>
  </si>
  <si>
    <t>Umicore Galvanotechnik Gmbh</t>
  </si>
  <si>
    <t>W.C. Heraeus Gmbh</t>
  </si>
  <si>
    <t>65 Euclid Avenue,</t>
  </si>
  <si>
    <t>Newark,</t>
  </si>
  <si>
    <t>Nj 07105-4527</t>
  </si>
  <si>
    <t>John Carroll</t>
  </si>
  <si>
    <t>John.Carroll@Heraeus.Com</t>
  </si>
  <si>
    <t>Westfalenzinn</t>
  </si>
  <si>
    <t>Yuntinic Chemical Gmbh</t>
  </si>
  <si>
    <t>Rotterdamer Str.11a</t>
  </si>
  <si>
    <t>40474 Dusseldorf</t>
  </si>
  <si>
    <t>Argor-Heraeus,Hong Kong</t>
  </si>
  <si>
    <t>Bank Of Nova Scotia (Lmba)</t>
  </si>
  <si>
    <t>Hareus Ltd . Hongkong</t>
  </si>
  <si>
    <t>N.T.</t>
  </si>
  <si>
    <t>Lbma Compliance Audit,Cross</t>
  </si>
  <si>
    <t>Various Mines + Recycled + Scrap</t>
  </si>
  <si>
    <t>Various Mines From Philippines,  Thailand, Laos +</t>
  </si>
  <si>
    <t>Heareus</t>
  </si>
  <si>
    <t>Heraeus Electronic Materials Phils.,Inc.</t>
  </si>
  <si>
    <t>Heraeus Ltd. Heraeus Technology</t>
  </si>
  <si>
    <r>
      <t>30 On Chuen Street, On Lok Tsuen ,N</t>
    </r>
    <r>
      <rPr>
        <sz val="11"/>
        <color rgb="FF000000"/>
        <rFont val="MS Gothic"/>
        <family val="3"/>
      </rPr>
      <t>・</t>
    </r>
    <r>
      <rPr>
        <sz val="11"/>
        <color rgb="FF000000"/>
        <rFont val="宋体"/>
        <family val="2"/>
        <scheme val="minor"/>
      </rPr>
      <t>T, Hong Kong</t>
    </r>
  </si>
  <si>
    <t>They Plan To Be Subject To 3rd-Party Audit</t>
  </si>
  <si>
    <t>30 On Chuen Street</t>
  </si>
  <si>
    <t>On Lok Tsuen</t>
  </si>
  <si>
    <t>Fanling, N.T.,</t>
  </si>
  <si>
    <t>Mr. Poon Dick</t>
  </si>
  <si>
    <t>Dick.Poon@Heraeus.Com</t>
  </si>
  <si>
    <t>Cfs Certified</t>
  </si>
  <si>
    <t>Heraeus Technology Center</t>
  </si>
  <si>
    <r>
      <t>On Lok Tsuen ,N</t>
    </r>
    <r>
      <rPr>
        <sz val="11"/>
        <color rgb="FF000000"/>
        <rFont val="MS Gothic"/>
        <family val="3"/>
      </rPr>
      <t>・</t>
    </r>
    <r>
      <rPr>
        <sz val="11"/>
        <color rgb="FF000000"/>
        <rFont val="宋体"/>
        <family val="2"/>
        <scheme val="minor"/>
      </rPr>
      <t>T</t>
    </r>
  </si>
  <si>
    <t>Hlh (Heraeus Limited Hongkong)</t>
  </si>
  <si>
    <t>Hutti Gold Mines Company Limited</t>
  </si>
  <si>
    <t>Johnson Matthey Hongkong Ltd.</t>
  </si>
  <si>
    <t>Mitsui &amp; Co. Precious Metals Inc. Hong Kong Branch</t>
  </si>
  <si>
    <t>Two Exchange Square</t>
  </si>
  <si>
    <t>Central</t>
  </si>
  <si>
    <t>Scotia Mocatta</t>
  </si>
  <si>
    <t>Smelter/Processor</t>
  </si>
  <si>
    <t>Boardtek</t>
  </si>
  <si>
    <t>Standard Bank</t>
  </si>
  <si>
    <t>The Bank Of Nova Scotia</t>
  </si>
  <si>
    <t>Elaine</t>
  </si>
  <si>
    <t>Elaine_Liu@Scotiacapital.Com</t>
  </si>
  <si>
    <t>Immersion Gold In Pcb Surface Treatment</t>
  </si>
  <si>
    <t>Uniforce Metal Industrial Corp.</t>
  </si>
  <si>
    <t>Wang Ting</t>
  </si>
  <si>
    <t>Balore Refinersga</t>
  </si>
  <si>
    <t>Bangalore Refinary</t>
  </si>
  <si>
    <t>Hutti Gold Mines Co Ltd.</t>
  </si>
  <si>
    <t>Shogini Technoarts Pvt Ltd</t>
  </si>
  <si>
    <t>The Hutti Gold Mines Co Ltd</t>
  </si>
  <si>
    <t>Batu Hijau Gold/Copper Mining</t>
  </si>
  <si>
    <t>Cv United Smelting</t>
  </si>
  <si>
    <t>E-Chem Enterprise</t>
  </si>
  <si>
    <t>Koba</t>
  </si>
  <si>
    <t>Arthaloka Buiding,12th Floor,Ji.Jend.Sudirman No.2,</t>
  </si>
  <si>
    <t>Jakarta 10220</t>
  </si>
  <si>
    <t>Email@Jkt.Ptkoba.Co.Id</t>
  </si>
  <si>
    <t>Ls-Nikko Copper Inc</t>
  </si>
  <si>
    <t>Jelan Jenderal Sudirman 5</t>
  </si>
  <si>
    <t>Pangkalpinang 33121</t>
  </si>
  <si>
    <t>Banka,</t>
  </si>
  <si>
    <t>Timah@Pt.Timah.Co.Id</t>
  </si>
  <si>
    <t>Pt Alam Lestari Kencana</t>
  </si>
  <si>
    <t>Pt Bangka Kudai Tin</t>
  </si>
  <si>
    <t>Jl Sisingamangaraja 75</t>
  </si>
  <si>
    <t>Sulawesi</t>
  </si>
  <si>
    <t>Pt Bangka Putra Karya</t>
  </si>
  <si>
    <t>Kawasan Industri Ketapang</t>
  </si>
  <si>
    <t>Pangkalpinang</t>
  </si>
  <si>
    <t>Bangka &amp; Belitung</t>
  </si>
  <si>
    <t>Jsisviandi@Yahoo.Com</t>
  </si>
  <si>
    <t>We Requested This Smelter To Join Cfs Program.</t>
  </si>
  <si>
    <t>This Column Would Be Traced/Certified By Cfs Program.</t>
  </si>
  <si>
    <t>Pt Belitung Industri Sejahtera</t>
  </si>
  <si>
    <t>Graha Kirana Bldg. , 15th Floor, Suite 1503, Jl. Yos Sudarso No. 88, Sunter</t>
  </si>
  <si>
    <t>Jakarta Utara</t>
  </si>
  <si>
    <t>Propinsi Dki Jaya</t>
  </si>
  <si>
    <t>Pt Billitin Makmur Lestari</t>
  </si>
  <si>
    <t>Jl Kh Moch Mansyur 23</t>
  </si>
  <si>
    <t>Krendang Jakarta</t>
  </si>
  <si>
    <t>Pt Bukit Timah</t>
  </si>
  <si>
    <t>Pt Ds Jaya Abadi</t>
  </si>
  <si>
    <t>Ji.Ketapang,Kawasan Industri</t>
  </si>
  <si>
    <t>Aheuw@Dsja-Tin.Com</t>
  </si>
  <si>
    <t>Pt Eunindo Usaha Mandiri</t>
  </si>
  <si>
    <t>Cimb Niaga Plaza Fl 9 Suite 908 Jl</t>
  </si>
  <si>
    <t>Jend. Sudirman Kav</t>
  </si>
  <si>
    <t>South Jakarta</t>
  </si>
  <si>
    <t>Pt Fang Di Multindo</t>
  </si>
  <si>
    <t>Pt Hp Metals Indonesia</t>
  </si>
  <si>
    <t>Ngoro Industri Persada M-1</t>
  </si>
  <si>
    <t>Ngoro. Mojokerta,</t>
  </si>
  <si>
    <t>Jawa Timur</t>
  </si>
  <si>
    <t>Pt Indra Eramulti Logam Industri</t>
  </si>
  <si>
    <t>Gardu Induk Pln 5, Margomulyo</t>
  </si>
  <si>
    <t>Tandes Lor</t>
  </si>
  <si>
    <t>East Java</t>
  </si>
  <si>
    <t>Pt Koba Tin</t>
  </si>
  <si>
    <t>Pt Mitra Stania Prima</t>
  </si>
  <si>
    <t>Santana Wisma Nugra 15th Floor Jl</t>
  </si>
  <si>
    <t>Jend. Sudirman Kav 7-8</t>
  </si>
  <si>
    <t>Pt Panca Mega</t>
  </si>
  <si>
    <t>Pt Refined Bangka Tin</t>
  </si>
  <si>
    <t>Jl. Kawasan Industri Jelitik</t>
  </si>
  <si>
    <t>Sungailiat 33125</t>
  </si>
  <si>
    <t>Pt Sariwiguna Binasentosa</t>
  </si>
  <si>
    <t>Wisma Eka Jiwa Ruko No 3</t>
  </si>
  <si>
    <t>L Mangga Dua Raya Blok N</t>
  </si>
  <si>
    <t>Jakarta, Indonesia</t>
  </si>
  <si>
    <t>Pt Stanindo Inti Perkasa</t>
  </si>
  <si>
    <t>Pt Sumber Jaya Indah</t>
  </si>
  <si>
    <t>Jl. Raya Pepelah Indah Blok,</t>
  </si>
  <si>
    <t>Tangerang</t>
  </si>
  <si>
    <t>Banten</t>
  </si>
  <si>
    <t>Pt Tambang Timah</t>
  </si>
  <si>
    <t>Jalan Jenderal Sudirman No 51</t>
  </si>
  <si>
    <t>Pangkal Pinang 33121</t>
  </si>
  <si>
    <t>Sumarso@Pttimah.Co.Id</t>
  </si>
  <si>
    <r>
      <t>Bangka Island</t>
    </r>
    <r>
      <rPr>
        <sz val="11"/>
        <color rgb="FF000000"/>
        <rFont val="MS Gothic"/>
        <family val="3"/>
      </rPr>
      <t>、</t>
    </r>
    <r>
      <rPr>
        <sz val="11"/>
        <color rgb="FF000000"/>
        <rFont val="宋体"/>
        <family val="2"/>
        <scheme val="minor"/>
      </rPr>
      <t>Belitung Island</t>
    </r>
    <r>
      <rPr>
        <sz val="11"/>
        <color rgb="FF000000"/>
        <rFont val="MS Gothic"/>
        <family val="3"/>
      </rPr>
      <t>、</t>
    </r>
    <r>
      <rPr>
        <sz val="11"/>
        <color rgb="FF000000"/>
        <rFont val="宋体"/>
        <family val="2"/>
        <scheme val="minor"/>
      </rPr>
      <t>Karimun Island</t>
    </r>
    <r>
      <rPr>
        <sz val="11"/>
        <color rgb="FF000000"/>
        <rFont val="MS Gothic"/>
        <family val="3"/>
      </rPr>
      <t>、</t>
    </r>
    <r>
      <rPr>
        <sz val="11"/>
        <color rgb="FF000000"/>
        <rFont val="宋体"/>
        <family val="2"/>
        <scheme val="minor"/>
      </rPr>
      <t>Kundur Island</t>
    </r>
  </si>
  <si>
    <t>Pt Timah Nusantara</t>
  </si>
  <si>
    <t>Lantai 3, Gedung Krakatau Stee Jl</t>
  </si>
  <si>
    <t>Gatot Subroto Kav. 54</t>
  </si>
  <si>
    <t>Jakarta 12950</t>
  </si>
  <si>
    <t>Timah@Pttimah.Co.Id</t>
  </si>
  <si>
    <t>Pt Tinindo Inter Nusa</t>
  </si>
  <si>
    <t>Jl Mangga Dua Abdad 1 Komplek Ruko Mangga Dua</t>
  </si>
  <si>
    <t>Elok Blok D10 - 11</t>
  </si>
  <si>
    <t>Jakarta Pusat,</t>
  </si>
  <si>
    <t>Pt.Ds Jaya Abadi</t>
  </si>
  <si>
    <t>Pt.Indra Eramulti Logam Industri</t>
  </si>
  <si>
    <t>Bangkagardu Induk Pln 5, Margomulyo</t>
  </si>
  <si>
    <t>Tandes Lor Surabaya</t>
  </si>
  <si>
    <t>Timah Company</t>
  </si>
  <si>
    <t>9-H140410237lmm</t>
  </si>
  <si>
    <t>Unit Metalurgi Pt Timah (Persero ) Tbk</t>
  </si>
  <si>
    <t>Jln.Raya Timah No.1,</t>
  </si>
  <si>
    <t>Muntok</t>
  </si>
  <si>
    <t>Banka Barat</t>
  </si>
  <si>
    <t>Rizky@Pttimah.Co.Id</t>
  </si>
  <si>
    <t>Metalli Preziosi S.P.A.</t>
  </si>
  <si>
    <t>Safimet Spa. (Gold Refiners)</t>
  </si>
  <si>
    <t>T.C.A S.P.A</t>
  </si>
  <si>
    <t>A.L.M.T. Corp.</t>
  </si>
  <si>
    <t>Akk,Asahi Pretec Corp,Asahi Pretec Corp Koube Koujyo</t>
  </si>
  <si>
    <t>Muroya1-6-3, Nisi-Ku,Koube-Si,Hyogo-Ken</t>
  </si>
  <si>
    <t>Koube-Si</t>
  </si>
  <si>
    <t>Hyogo-Ken</t>
  </si>
  <si>
    <t>Allied Material</t>
  </si>
  <si>
    <t>Axis Material Limited</t>
  </si>
  <si>
    <t>1,Takumidai,Ono City,675-1322</t>
  </si>
  <si>
    <t>Ono</t>
  </si>
  <si>
    <t>Recycling Company</t>
  </si>
  <si>
    <t>C.Uyemura &amp; Co,.Ltd</t>
  </si>
  <si>
    <t>Co., Ltd. Head Office Tokuriki</t>
  </si>
  <si>
    <t>E-Chem Enterprise Corp</t>
  </si>
  <si>
    <t>Gold Shousha</t>
  </si>
  <si>
    <t>Harima Smelter</t>
  </si>
  <si>
    <t>346-4,Miyanishi,Harima-Cho</t>
  </si>
  <si>
    <t>Kako-Gun</t>
  </si>
  <si>
    <t>Hyogo 675-0145</t>
  </si>
  <si>
    <t>81-79-437-8651</t>
  </si>
  <si>
    <t>Waiting For The Cfs List To Be Created For Au.</t>
  </si>
  <si>
    <t>Hishikari Mine</t>
  </si>
  <si>
    <t>3844, Hishikari-Maeme, Isa, Kagoshima 895-2701, Japan</t>
  </si>
  <si>
    <t>Harmony Gold Refinery</t>
  </si>
  <si>
    <t>Hishikari Gold Mining</t>
  </si>
  <si>
    <t>Hisikari Mine</t>
  </si>
  <si>
    <t>3844,Hishikari-Maeme,Isa,</t>
  </si>
  <si>
    <t>Kagoshima 895-2701</t>
  </si>
  <si>
    <t>Kagoshima</t>
  </si>
  <si>
    <t>Sumitomo Metal Mining Nagoya Branch  Mr. Takase</t>
  </si>
  <si>
    <t>81-52-963-2360</t>
  </si>
  <si>
    <t>Ishifuku Kinzoku Kougyo Souka Kojyo</t>
  </si>
  <si>
    <t>Aoyagi2-12-30/Souka-Si/Saitama-Ken/Japan</t>
  </si>
  <si>
    <t>Ishifuku Tokyo Melters</t>
  </si>
  <si>
    <t>Jada Electronic Limited (Jx Nippon Mining&amp;Matel Co., Ltd)</t>
  </si>
  <si>
    <t>Japan Pure Chemical Co., Ltd.</t>
  </si>
  <si>
    <t>Nerima-Ku,</t>
  </si>
  <si>
    <t>Jix Nippon Mining &amp; Metals Co. Ltd.</t>
  </si>
  <si>
    <t>Kanto Denka Kogyo Co., Ltd.</t>
  </si>
  <si>
    <r>
      <t>Central Glass Corporation, Ube Fab</t>
    </r>
    <r>
      <rPr>
        <sz val="11"/>
        <color rgb="FF000000"/>
        <rFont val="MS Gothic"/>
        <family val="3"/>
      </rPr>
      <t>　</t>
    </r>
    <r>
      <rPr>
        <sz val="11"/>
        <color rgb="FF000000"/>
        <rFont val="宋体"/>
        <family val="2"/>
        <scheme val="minor"/>
      </rPr>
      <t xml:space="preserve">Ube 5253 Daijioki, </t>
    </r>
  </si>
  <si>
    <t>Ube-Shi</t>
  </si>
  <si>
    <t>Yamaguchi-Ken</t>
  </si>
  <si>
    <t>Kikuchi-Naori@Toyoko-Jp.Com</t>
  </si>
  <si>
    <t>Kojima Kagaku Kogyo</t>
  </si>
  <si>
    <t>Kosak Seiren</t>
  </si>
  <si>
    <t>Leybold Co.,Ltd.</t>
  </si>
  <si>
    <t>Materials Eco-Refining Co.,Ltd</t>
  </si>
  <si>
    <t>Meta Low Technologies Japan , Ltd.</t>
  </si>
  <si>
    <t>Metal Do Co.,Ltd</t>
  </si>
  <si>
    <t>Metalor Japan</t>
  </si>
  <si>
    <t>Metalor Technologies Japan</t>
  </si>
  <si>
    <t>2-16-1 Konan</t>
  </si>
  <si>
    <t>Minato-Ku</t>
  </si>
  <si>
    <t>Mitsubishi Electric Metecs Co., Ltd.</t>
  </si>
  <si>
    <t>1-1-57, Miyashimo, Cyuo-Ku</t>
  </si>
  <si>
    <t>Sagamihara-City</t>
  </si>
  <si>
    <t>Kanagawa 252-5295</t>
  </si>
  <si>
    <t>Mitsubishi Gas Chemical Co., Inc</t>
  </si>
  <si>
    <t>Mitsui &amp; Co Precious Metals Inc</t>
  </si>
  <si>
    <t>Mitsui High-Tec, Inc.</t>
  </si>
  <si>
    <t>Mitui Kinzoku Co Ltd Takehara Seirenjyo</t>
  </si>
  <si>
    <t>Sio-Machi 1-5-</t>
  </si>
  <si>
    <t>Takehara-Si</t>
  </si>
  <si>
    <t>Hirosima-Ken</t>
  </si>
  <si>
    <t>Mori Silver</t>
  </si>
  <si>
    <t>Morigin Company</t>
  </si>
  <si>
    <t>Kofu-City</t>
  </si>
  <si>
    <t>Yamanshi</t>
  </si>
  <si>
    <t>N.E.Chemcat Corporation</t>
  </si>
  <si>
    <t>2-4-1 Hamamatsu-Cho, Minato-Ku, Tokyo 105-6124, Japan</t>
  </si>
  <si>
    <t>Mr. S.Sato</t>
  </si>
  <si>
    <t>Setsuo.Satou@Ne-Chemcat.Co.Jp</t>
  </si>
  <si>
    <t>Nagano,Japan</t>
  </si>
  <si>
    <t>Natsuda Sangyo Co., Ltd</t>
  </si>
  <si>
    <t>Neomax Hitachi</t>
  </si>
  <si>
    <t>Nihama Nickel Refinery</t>
  </si>
  <si>
    <t>Nihon Kagaku Sangyo Co., Ltd.</t>
  </si>
  <si>
    <t>Indonesia, Thailand, Vietnam, Peru</t>
  </si>
  <si>
    <t>Nihon Superior Co., Ltd.</t>
  </si>
  <si>
    <t>Niihama Nickel Refinery</t>
  </si>
  <si>
    <t>Toyo</t>
  </si>
  <si>
    <t>Niihama Toyo Smelter &amp; Refinery</t>
  </si>
  <si>
    <t>Niihama/Japan</t>
  </si>
  <si>
    <t>Nippon Filler Metals, Ltd.</t>
  </si>
  <si>
    <t>Nippon Micrometal Corporation</t>
  </si>
  <si>
    <t>Nippon Mining &amp; Metals Co., Ltd.</t>
  </si>
  <si>
    <t>Tokyo, 105-0001</t>
  </si>
  <si>
    <t>Nishihara Science And Engineering</t>
  </si>
  <si>
    <t>Nisshin Chemical Co., Ltd.</t>
  </si>
  <si>
    <t>Nissin Kasei Co., Ltd</t>
  </si>
  <si>
    <t>Nittesu Mining Co., Ltd.</t>
  </si>
  <si>
    <t>Nohon Material Corporation</t>
  </si>
  <si>
    <t>Ohura Precious Metal Industry Co., Ltd</t>
  </si>
  <si>
    <t>284 Nishinokyomachi</t>
  </si>
  <si>
    <t>Yamamoto</t>
  </si>
  <si>
    <t>Oura@Skyblue.Ocn.Ne.Jp</t>
  </si>
  <si>
    <t>Listed On The Cfsp Compliant Smelter List</t>
  </si>
  <si>
    <t>3-3382 Saganoseki</t>
  </si>
  <si>
    <t>Ooita-City</t>
  </si>
  <si>
    <t>Ooita</t>
  </si>
  <si>
    <t>Mr.R.Tawara</t>
  </si>
  <si>
    <t>R_Tawara@Ppcu.Co.Jp</t>
  </si>
  <si>
    <t>Cadia Hill</t>
  </si>
  <si>
    <t>Australia Recycled</t>
  </si>
  <si>
    <t>Pan-Billed Traffic Copper Co., Ltd.</t>
  </si>
  <si>
    <t>Pt,Ds Jaya Abadi</t>
  </si>
  <si>
    <t>Saganoseki Smelter &amp; Refinery</t>
  </si>
  <si>
    <t>Senju Metal Industry Co., Ltd.</t>
  </si>
  <si>
    <t>Senju-Hashido-Cho Adachi-Ku</t>
  </si>
  <si>
    <t>Auston</t>
  </si>
  <si>
    <t>Auston@Senju.Com.Tw</t>
  </si>
  <si>
    <t>Shenzhen Fu Chun Company</t>
  </si>
  <si>
    <t>Shi Fu Metal Industrial</t>
  </si>
  <si>
    <t>Shinko Electric Industries Co.,Ltd.</t>
  </si>
  <si>
    <t>Smitomo Hisikari Mine</t>
  </si>
  <si>
    <t>Sojitz Corporation</t>
  </si>
  <si>
    <t>Soka Plant</t>
  </si>
  <si>
    <t>Solder Coat Co.,Ltd</t>
  </si>
  <si>
    <t>Sumisho Materials Corp.</t>
  </si>
  <si>
    <t>Suzuki Kikinzoku Kako K.K.</t>
  </si>
  <si>
    <t>4-21-52 Asahi</t>
  </si>
  <si>
    <t>Kawaguchi</t>
  </si>
  <si>
    <t>Saitama Pref.</t>
  </si>
  <si>
    <t>Taki Chemical</t>
  </si>
  <si>
    <t>Taki Chem Is On Conflict Free Smelter List.</t>
  </si>
  <si>
    <t>Tanaka Denshi Kogyo</t>
  </si>
  <si>
    <t>2303-15 Yoshida Yoshinogari-Cho. Kanzaki-Gun</t>
  </si>
  <si>
    <t>Saga-Pref.</t>
  </si>
  <si>
    <t>Woo Feng Wei/ Mr Yamatsu</t>
  </si>
  <si>
    <t>Woo@Tanaka.Com.My/ Yamatsu@Ml.Tanaka.Co.Jp</t>
  </si>
  <si>
    <t>Tanaka Kikinnzoku Kogyo K.K.</t>
  </si>
  <si>
    <t>Nagatoro2-14</t>
  </si>
  <si>
    <t>Hiratukasi</t>
  </si>
  <si>
    <t>Kanagawaken</t>
  </si>
  <si>
    <t>Akihiko Okuda</t>
  </si>
  <si>
    <t>Okuda@Ml.Tanaka.Co.Jp/Kw6</t>
  </si>
  <si>
    <t>Tanaka,Tanaka Tokyo Melters,Tanaka Denshi Kogyo,Tanaka Denshi Kogyo K.K,Tanaka Electronics (Hangzhou)Co.Ltd,Tanaka Electronics Singapore Pte Ltd,Tanaka Holdings Co.Ltd.,Tanaka Kikinnzoku Kogyo K.K.,Tanaka Kikinzoku Group,Tanaka Kikinzoku Hanbai K.K.,Tana</t>
  </si>
  <si>
    <t>Tokuriki Tokyo Melters Assayers</t>
  </si>
  <si>
    <t>2, Shobucho Showanuma</t>
  </si>
  <si>
    <t>(+81)3-3252-0171</t>
  </si>
  <si>
    <t>Inquiries On The Website</t>
  </si>
  <si>
    <t>Toyo Smelter &amp; Refinery Of Sumitomo Metal Mining Co.,Ltd</t>
  </si>
  <si>
    <t>Valcambi Sa</t>
  </si>
  <si>
    <t>Vqb Mineral And Trading Group Joint Stock Company</t>
  </si>
  <si>
    <t>Watanabe Electric</t>
  </si>
  <si>
    <t>Yamato Denki Ind. Co., Ltd.</t>
  </si>
  <si>
    <t>Yokohama Precious Metal Co.,Ltd.</t>
  </si>
  <si>
    <t>1090-3</t>
  </si>
  <si>
    <t>Azaohtani,Kamibun,Kagami,Konan</t>
  </si>
  <si>
    <r>
      <t>Kochi</t>
    </r>
    <r>
      <rPr>
        <sz val="11"/>
        <color rgb="FF000000"/>
        <rFont val="MS Gothic"/>
        <family val="3"/>
      </rPr>
      <t>　</t>
    </r>
    <r>
      <rPr>
        <sz val="11"/>
        <color rgb="FF000000"/>
        <rFont val="宋体"/>
        <family val="2"/>
        <scheme val="minor"/>
      </rPr>
      <t>781-5451</t>
    </r>
  </si>
  <si>
    <r>
      <t>Kosuke</t>
    </r>
    <r>
      <rPr>
        <sz val="11"/>
        <color rgb="FF000000"/>
        <rFont val="MS Gothic"/>
        <family val="3"/>
      </rPr>
      <t>　</t>
    </r>
    <r>
      <rPr>
        <sz val="11"/>
        <color rgb="FF000000"/>
        <rFont val="宋体"/>
        <family val="2"/>
        <scheme val="minor"/>
      </rPr>
      <t>Matsuda</t>
    </r>
  </si>
  <si>
    <t>Matsuda@Yamakin-Gold.Co.Jp</t>
  </si>
  <si>
    <t>Tanaka</t>
  </si>
  <si>
    <t>Korea</t>
  </si>
  <si>
    <t>Heraeus Oriental Hitec Co., Ltd.</t>
  </si>
  <si>
    <t>Butterworth Smelter</t>
  </si>
  <si>
    <t>Hana-High Metal</t>
  </si>
  <si>
    <t>Malaysia Smelting Corporation (Msc)</t>
  </si>
  <si>
    <t>27, Jalan Pantai, 12000</t>
  </si>
  <si>
    <t>Chua.Cy@Msmelt.Com</t>
  </si>
  <si>
    <t>We Are Waiting EICC Cfs Certified List Is Released To Public.</t>
  </si>
  <si>
    <t>Perusahaan Sadur Timah Malaysia(Perstima)Berhad</t>
  </si>
  <si>
    <t>Rahman Hydrulic Tin Sdn Bhd</t>
  </si>
  <si>
    <t>33200 Kelian Intan</t>
  </si>
  <si>
    <t>Pengkalan Hulu,</t>
  </si>
  <si>
    <t>Hulu Perak</t>
  </si>
  <si>
    <t>Redling Solder (M) Sdn.Bhd.</t>
  </si>
  <si>
    <t>Shen Mao Solder(M) Sdn Bhd</t>
  </si>
  <si>
    <t>Sin Asahi Solder(M)Sdn Bhd</t>
  </si>
  <si>
    <t>La Caridad Mine</t>
  </si>
  <si>
    <t>Metalúrgica Met-Mex Peñoles, S.A. De C.V</t>
  </si>
  <si>
    <t>Calzada Legaria No. 549 Torre 2 Colonia 10 De Abril</t>
  </si>
  <si>
    <t>Rafael Rebollar</t>
  </si>
  <si>
    <t>Rafael_Rebollar@Penoles.Com.Mx</t>
  </si>
  <si>
    <t>Mexico</t>
  </si>
  <si>
    <t>Met-Mex Peñoles, S.A.</t>
  </si>
  <si>
    <t>Southern Copper Corporation - Grupo Mexico</t>
  </si>
  <si>
    <t>Southern Copper Corporation - Grupo Mexico, Campos Eliseos N° 400, Colonia Lomas De Chapultepec Delegacion Miguel Hidalgo, C. P. 11000, Mexico</t>
  </si>
  <si>
    <t>Spwb(Diode)</t>
  </si>
  <si>
    <t>Remondis Argentina B.V.</t>
  </si>
  <si>
    <t>Jupiterweg 2</t>
  </si>
  <si>
    <t>Zevenbergen</t>
  </si>
  <si>
    <t>Paul Van Oosterbus</t>
  </si>
  <si>
    <t>Paul.Van.Oosterbus@Remondis-Argentina.Nl</t>
  </si>
  <si>
    <t>K.A Rasmussen As</t>
  </si>
  <si>
    <t>Amalgamet Inc</t>
  </si>
  <si>
    <t>Minsur S.A. Tin Metal (Funsur)</t>
  </si>
  <si>
    <t>Av. San Martin 1371</t>
  </si>
  <si>
    <t>Pisco Playa</t>
  </si>
  <si>
    <t>Pisco - Ica</t>
  </si>
  <si>
    <t>Jore@Funsur.Com</t>
  </si>
  <si>
    <t>Minsur (San Rafael)</t>
  </si>
  <si>
    <t>Peru</t>
  </si>
  <si>
    <t>Nmc</t>
  </si>
  <si>
    <t>Philippine Associated Smelting And Refining Corporation</t>
  </si>
  <si>
    <t>Qualitek Delta Philippines Inc.</t>
  </si>
  <si>
    <t>Ekaterinburg</t>
  </si>
  <si>
    <t>Novosibirsk Smelter</t>
  </si>
  <si>
    <t>Kirov Street, 103</t>
  </si>
  <si>
    <t>Novosibirsk Town</t>
  </si>
  <si>
    <t>Ojsc “The Gulidov Krasnoyarsk Non-Ferrous Metals Plant” (Ojsc Krastvetmet)</t>
  </si>
  <si>
    <t>Pure Technology</t>
  </si>
  <si>
    <t>3 Pesochnaya Str.,</t>
  </si>
  <si>
    <t>426033 Izhevsk</t>
  </si>
  <si>
    <t>Udmurt Republic</t>
  </si>
  <si>
    <t>Shyolkovsky</t>
  </si>
  <si>
    <t>Wolfram Company Cjsc</t>
  </si>
  <si>
    <t>Heraeus Materials Singapore Pte Ltd</t>
  </si>
  <si>
    <t>Ogm</t>
  </si>
  <si>
    <t>Aurakin</t>
  </si>
  <si>
    <t>Aurakin.Tongsuk@As.Omgi.Com</t>
  </si>
  <si>
    <t>Om Group</t>
  </si>
  <si>
    <t>Rohm And Haas</t>
  </si>
  <si>
    <t>Tanaka Electronics Singapore Pte Ltd</t>
  </si>
  <si>
    <t>Tanaka Kikinzoku International Co.,</t>
  </si>
  <si>
    <t>The Refinery Of Shandong Gold Mining Co. Ltd</t>
  </si>
  <si>
    <t>Harmony Gold Mining</t>
  </si>
  <si>
    <t>Cookson Sempsa</t>
  </si>
  <si>
    <t>Spain</t>
  </si>
  <si>
    <t>Only Scraps</t>
  </si>
  <si>
    <t>Micron To Conduct Follow-Up To Determine Accuracy Of Information.</t>
  </si>
  <si>
    <t>Metalor</t>
  </si>
  <si>
    <t>Rue Des Perveuils 8 Ch-2074, Marin, Switzerland</t>
  </si>
  <si>
    <t>Frank Hsiao</t>
  </si>
  <si>
    <t>Frank.Hsiao@Metalor.Com</t>
  </si>
  <si>
    <t>440 836-6191</t>
  </si>
  <si>
    <t>Pxprecinox@Pxgroup.Com</t>
  </si>
  <si>
    <t>6675 Parkland Blvd, Solon, Oh 44146</t>
  </si>
  <si>
    <t>Biel/Bienne</t>
  </si>
  <si>
    <t>Bank Of Switzerland</t>
  </si>
  <si>
    <t>Dci_Metalor Technologies Singapore Pte Ltd</t>
  </si>
  <si>
    <t>Chemin. Des Perveuils 8/Ch-2074 Marin</t>
  </si>
  <si>
    <t>Chemin. Des Perveuils 8/Ch-2074 Marin/Switzerland</t>
  </si>
  <si>
    <t>General Iken</t>
  </si>
  <si>
    <t>Johnson Matthey &amp; Brandenberger Ag</t>
  </si>
  <si>
    <t>Lee Iken</t>
  </si>
  <si>
    <t>Taipeng</t>
  </si>
  <si>
    <t>Ubs Ag</t>
  </si>
  <si>
    <t>45 P.O Box Ch-8098</t>
  </si>
  <si>
    <t>Zurich</t>
  </si>
  <si>
    <t>Jonathan</t>
  </si>
  <si>
    <t>Jonathan.Battershill@Ubs.Com</t>
  </si>
  <si>
    <t>Umicore Materials Ag</t>
  </si>
  <si>
    <t>Xstrata Canada Corporation</t>
  </si>
  <si>
    <t>C(Pj-Usa)</t>
  </si>
  <si>
    <t>No.17,Yonggong 1st Rd., Yongan Dist., Kaohsiung City 82841,Taiwan</t>
  </si>
  <si>
    <t>China Steel Corporation</t>
  </si>
  <si>
    <t>Chroma New Material Corporation</t>
  </si>
  <si>
    <t>Da Hong</t>
  </si>
  <si>
    <t>Foxconn Technology Group</t>
  </si>
  <si>
    <t>Gwo Chern Industrial Co., Ltd.</t>
  </si>
  <si>
    <t>Ms Jeng</t>
  </si>
  <si>
    <t>Hon Hai Precision In</t>
  </si>
  <si>
    <t>Honhai Precision Co., Ltd</t>
  </si>
  <si>
    <t>Jia Lung Corp</t>
  </si>
  <si>
    <t>Kuan Shuo Ind. Co., Ltd.</t>
  </si>
  <si>
    <t>Lian Chi Co.,Ltd</t>
  </si>
  <si>
    <t>Lianqi Plating Ltd</t>
  </si>
  <si>
    <t>No 1280 Lane North Zhongshan Road</t>
  </si>
  <si>
    <t>Ping Yi Technology Co.,Ltd.</t>
  </si>
  <si>
    <t>Pynmax Technology Co., Ltd.</t>
  </si>
  <si>
    <t>Redsun</t>
  </si>
  <si>
    <t>Sendanex Chemical Industry &amp; Richemax International Co.,Ltd</t>
  </si>
  <si>
    <t>St. Chemical Industrial Raw Material Line</t>
  </si>
  <si>
    <t>Suntain</t>
  </si>
  <si>
    <t>Super Dragon Technology Co., Ltd.</t>
  </si>
  <si>
    <t>Taoyuan Hsien</t>
  </si>
  <si>
    <t>Ms. Chang</t>
  </si>
  <si>
    <t>Jojochang@Sdti.Com.Tw</t>
  </si>
  <si>
    <t>Taiwan Sumiko Material Co., Ltd</t>
  </si>
  <si>
    <t>Taiwan Total Co. Ltd.</t>
  </si>
  <si>
    <t>Tanaka Kikinzoku Group</t>
  </si>
  <si>
    <t>Tsai Brother Industries</t>
  </si>
  <si>
    <t>Wu Gu</t>
  </si>
  <si>
    <t>New Taipei City</t>
  </si>
  <si>
    <t>Tsai</t>
  </si>
  <si>
    <t>Wam Technologies Taiwan Co.,Ltd.</t>
  </si>
  <si>
    <t>Yantai Zhaojin Kanfort Precious Metals Incorporated Company</t>
  </si>
  <si>
    <t>Bangkok Assay</t>
  </si>
  <si>
    <t>155moo15,Bangsaothong</t>
  </si>
  <si>
    <t>A.Bangsaothong</t>
  </si>
  <si>
    <t>Samutprakarn</t>
  </si>
  <si>
    <t>Supot Chantaporn</t>
  </si>
  <si>
    <t>Supot@Bkkassay.Com</t>
  </si>
  <si>
    <t>Nihon Genma Mfg Co., Ltd.</t>
  </si>
  <si>
    <t>Ntet, Thailand</t>
  </si>
  <si>
    <t>60/76 Moo 19 Navanakorn Industrial Estate,Paholyothin Road</t>
  </si>
  <si>
    <t>Klong Nueng Klong Luang</t>
  </si>
  <si>
    <t>Pathum,12120</t>
  </si>
  <si>
    <t>Linda@Shogo.Com.Cn</t>
  </si>
  <si>
    <t>Na (Scrap)</t>
  </si>
  <si>
    <t>Engelhard London</t>
  </si>
  <si>
    <t>Johnson Matthey Chemicals Ltd.</t>
  </si>
  <si>
    <t>London Bullion Market Association</t>
  </si>
  <si>
    <t>1-2 Royal Exchange Buildings, Royal Exchange, Ec3v 3lf</t>
  </si>
  <si>
    <t>Mcp Mining &amp; Chemical Products Ltd. Uk</t>
  </si>
  <si>
    <t>Air Products</t>
  </si>
  <si>
    <t>Altlantic Metals</t>
  </si>
  <si>
    <t>Asarco</t>
  </si>
  <si>
    <t>Ati Tungsten Materials</t>
  </si>
  <si>
    <t>Aura-Ii</t>
  </si>
  <si>
    <t>Auston Powder</t>
  </si>
  <si>
    <t>Colt Refining</t>
  </si>
  <si>
    <t>CID000288</t>
  </si>
  <si>
    <t>12a Star Dr, Merrimack, Nh 03054</t>
  </si>
  <si>
    <t>Mitch Coughlin  (603-429-9966)</t>
  </si>
  <si>
    <t>Mcoughlin@Coltrefining.Com</t>
  </si>
  <si>
    <t>Cwb Materials</t>
  </si>
  <si>
    <t>Drw</t>
  </si>
  <si>
    <t>Enthone Omi</t>
  </si>
  <si>
    <t>Florian.Mueller@Heimerle-Meule.Com</t>
  </si>
  <si>
    <t>1851 Blount Road</t>
  </si>
  <si>
    <t>Fl 33069</t>
  </si>
  <si>
    <t>David@Exotech.Com</t>
  </si>
  <si>
    <t>Ferro Corporation</t>
  </si>
  <si>
    <t>Global Advanced Metals</t>
  </si>
  <si>
    <t>2 Seaport Lane Suite 1300</t>
  </si>
  <si>
    <t>Boston</t>
  </si>
  <si>
    <t>Ma, Usa</t>
  </si>
  <si>
    <t>Andrew_Odonovan@Cabot-Corp.Com</t>
  </si>
  <si>
    <t>Talison, Noventa, Tanco</t>
  </si>
  <si>
    <t>Australia/Mozambique/Canada</t>
  </si>
  <si>
    <t>Goodway</t>
  </si>
  <si>
    <t>Hawkins Inc</t>
  </si>
  <si>
    <t>Heraeus Group</t>
  </si>
  <si>
    <t>Newark</t>
  </si>
  <si>
    <t>New Jersey</t>
  </si>
  <si>
    <t>65 Euclid Avenue, Newark, Nj 07105</t>
  </si>
  <si>
    <t>Dave Gallagher</t>
  </si>
  <si>
    <t>Johnson Matthey Inc</t>
  </si>
  <si>
    <t>4601 West 2100</t>
  </si>
  <si>
    <t>South Salt Lake City</t>
  </si>
  <si>
    <t>Utah 84120</t>
  </si>
  <si>
    <t>Tel: +18019726466   Http://Www.Matthey.Com</t>
  </si>
  <si>
    <t>Littelfuse</t>
  </si>
  <si>
    <t>Mead Metals</t>
  </si>
  <si>
    <t>Metallic Resources Inc</t>
  </si>
  <si>
    <t>2368 East Enterprise Parkway</t>
  </si>
  <si>
    <t>Ohio, 44087</t>
  </si>
  <si>
    <t>Jeff Meeks</t>
  </si>
  <si>
    <t>Jmeeks@Metallicresources.Com</t>
  </si>
  <si>
    <t>Metalor Technologies (Usa Refining Corporation)</t>
  </si>
  <si>
    <t>Attleboro</t>
  </si>
  <si>
    <t>Ma - Recycled</t>
  </si>
  <si>
    <t>Meterion</t>
  </si>
  <si>
    <t>Nathan Trotter &amp; Co</t>
  </si>
  <si>
    <t>Luke Etherington</t>
  </si>
  <si>
    <t>Ohio Precious Metals Llc.</t>
  </si>
  <si>
    <t>16064 Beaver Pike</t>
  </si>
  <si>
    <t>Omg Electrochemicals</t>
  </si>
  <si>
    <t>Pm Sales Inc.</t>
  </si>
  <si>
    <t>76 Westbury Park Road</t>
  </si>
  <si>
    <t>Watertown</t>
  </si>
  <si>
    <t>Ct</t>
  </si>
  <si>
    <t>Krista Upson</t>
  </si>
  <si>
    <t>Pmsaleacorp@Aol.Com</t>
  </si>
  <si>
    <t>Pogo Gold Mining</t>
  </si>
  <si>
    <t>Precious Metal Sales Corp.</t>
  </si>
  <si>
    <t>Scotia Mocatta, The Bank Of Nova Scotia</t>
  </si>
  <si>
    <t>Sylham</t>
  </si>
  <si>
    <t>Technic Inc.</t>
  </si>
  <si>
    <t>Smelter List_8/Plating Material/Perfection Plating Inc.</t>
  </si>
  <si>
    <t>The Refinery Of Shandong Gold Mining Co., Ltd</t>
  </si>
  <si>
    <t>Triumph Northwest</t>
  </si>
  <si>
    <t>527 Pleasant St</t>
  </si>
  <si>
    <t>Ma</t>
  </si>
  <si>
    <t>Jean Poole</t>
  </si>
  <si>
    <t>Jean.Poole@Umicore.Com</t>
  </si>
  <si>
    <t>Uyemura</t>
  </si>
  <si>
    <t>Williams Bufalo</t>
  </si>
  <si>
    <t>Williams/ Williams Brewster</t>
  </si>
  <si>
    <t>Wort Wayne Wire Die</t>
  </si>
  <si>
    <t>Xstrata Llc</t>
  </si>
  <si>
    <t>Yutinic Resources</t>
  </si>
  <si>
    <t>2050 Pioneer Ct, Suite 220</t>
  </si>
  <si>
    <t>San Mateo</t>
  </si>
  <si>
    <t>Ca</t>
  </si>
  <si>
    <t>Ammc</t>
  </si>
  <si>
    <t>Chenggong Technology Co.,Ltd.</t>
  </si>
  <si>
    <t>Der Kae Enterprlse.Co</t>
  </si>
  <si>
    <t>Nmmc</t>
  </si>
  <si>
    <t>Novoi</t>
  </si>
  <si>
    <t>Perth Airport</t>
  </si>
  <si>
    <t>Soe Shyolkovsky Factory Of Secondary Precious Metals</t>
  </si>
  <si>
    <t>Solar Applied Materials Technology Co.</t>
  </si>
  <si>
    <t>No. 1, Gongye 3rd,Annan Dis</t>
  </si>
  <si>
    <t>Tiwan City</t>
  </si>
  <si>
    <t>EICC Conflict-Free Smelter - Valid Till April 10, 2014</t>
  </si>
  <si>
    <t>Not Disclosed Per Rjc</t>
  </si>
  <si>
    <t>Umicore Sa Business Unit Precious Metals Refining</t>
  </si>
  <si>
    <t>L1, R/S</t>
  </si>
  <si>
    <t>Wieland Edelmetalle Gmbh</t>
  </si>
  <si>
    <t>3-5-2 Hashimotodai, Midori-Ku, Sagamihara, Kanagawa, 252-0132</t>
  </si>
  <si>
    <t>Kentaro Higa</t>
  </si>
  <si>
    <t>Ken_Fmv@Mail.Yk-Metal.Co.Jp</t>
  </si>
  <si>
    <t>Huangxing Town</t>
  </si>
  <si>
    <t>Changsha, Hunan</t>
  </si>
  <si>
    <t>Yan Yu</t>
  </si>
  <si>
    <t>Sales@Csnftn.Cn</t>
  </si>
  <si>
    <t>Wodgina Mibra Noventa</t>
  </si>
  <si>
    <t>D Block Metals, Llc</t>
  </si>
  <si>
    <t>954-917-1919</t>
  </si>
  <si>
    <t>Cfs</t>
  </si>
  <si>
    <t>Fir Metals &amp; Resource Ltd.</t>
  </si>
  <si>
    <t>Australia, Mozambique, Canada</t>
  </si>
  <si>
    <t>Guizhou Zhenhua Xinyun Technology Ltd., Kaili Branch</t>
  </si>
  <si>
    <t>L1, L2, L3, Drc, R/S</t>
  </si>
  <si>
    <t>H.C. Starck Gmbh Goslar</t>
  </si>
  <si>
    <t>South America/Brazil/Australia</t>
  </si>
  <si>
    <t>H.C. Starck Gmbh Laufenburg</t>
  </si>
  <si>
    <t>H.C. Starck Hermsdorf Gmbh</t>
  </si>
  <si>
    <t>Mineral Sourcing L1,R/S</t>
  </si>
  <si>
    <t>Dale Lathrop</t>
  </si>
  <si>
    <t>Dales.Lathrop@Hcstarck.Com</t>
  </si>
  <si>
    <t>Various Mines, Talison</t>
  </si>
  <si>
    <t>South America/Australia</t>
  </si>
  <si>
    <t>Cfs Listed</t>
  </si>
  <si>
    <t>L1</t>
  </si>
  <si>
    <t>H.C. Starck Smelting Gmbh &amp; Co.Kg</t>
  </si>
  <si>
    <t>Jiujiang Jinxin Nonferrous Metals Co., Ltd.</t>
  </si>
  <si>
    <t>Kemet Blue Metals</t>
  </si>
  <si>
    <t>Parque Industrial Del Norte C.P. 87380</t>
  </si>
  <si>
    <t>H. Matamoros, Tamaulilpas,Mexico</t>
  </si>
  <si>
    <t>Recycled/Scrap</t>
  </si>
  <si>
    <t>Kbm Is Covered Under The EICC Cfs Under Kemet.</t>
  </si>
  <si>
    <t>Kemet Blue Powder</t>
  </si>
  <si>
    <t>King-Tan Tantalum Industry Ltd</t>
  </si>
  <si>
    <t>Lsm Brasil S.A.</t>
  </si>
  <si>
    <t>Metallurgical Products India (Pvt.) Ltd.</t>
  </si>
  <si>
    <t>T-27, Midc, Taloja-40208, Dist.Raigad, Mharashtra</t>
  </si>
  <si>
    <t>Presidente Figueiredo, Amazonas, Brazil?</t>
  </si>
  <si>
    <t>Ms. Luciana Miranda Pagnoncelli</t>
  </si>
  <si>
    <t>Oaza-Tosen 2081</t>
  </si>
  <si>
    <t>Omuta-Shi</t>
  </si>
  <si>
    <t>Wodgina                                               Scrap</t>
  </si>
  <si>
    <t>Australia                                               Scrap</t>
  </si>
  <si>
    <t>Estonia</t>
  </si>
  <si>
    <t>Plansee Se Liezen</t>
  </si>
  <si>
    <t>Austria</t>
  </si>
  <si>
    <t>Plansee Se Reutte</t>
  </si>
  <si>
    <t>Quantumclean</t>
  </si>
  <si>
    <t>Gam</t>
  </si>
  <si>
    <t>Talison Minerals Pty Ltd</t>
  </si>
  <si>
    <t>Level 4,37 St. Georges Terrace,Perth,Western Australia 6000</t>
  </si>
  <si>
    <t>Mr.Paul Wallwork</t>
  </si>
  <si>
    <t>Paul.Wallwork@Talison.Com.Au</t>
  </si>
  <si>
    <t>Wodgnia,Greenbush</t>
  </si>
  <si>
    <t>Böhler Schmiedetechn</t>
  </si>
  <si>
    <t>Plansee</t>
  </si>
  <si>
    <t>CID001368</t>
  </si>
  <si>
    <t>Werk Liezen, Werkstabe 14, 8940</t>
  </si>
  <si>
    <t>Yamada Hiroki</t>
  </si>
  <si>
    <t>Hiroki.Yamada@Plansee.Com</t>
  </si>
  <si>
    <t>Ethiopia, Australia, Nigeria, China</t>
  </si>
  <si>
    <t>WBH Ag</t>
  </si>
  <si>
    <t>4AUT012</t>
  </si>
  <si>
    <t>Amg Mining Mibra Mine</t>
  </si>
  <si>
    <t>Colonia Do Giarola</t>
  </si>
  <si>
    <t>Rodovia</t>
  </si>
  <si>
    <t>Cbmm</t>
  </si>
  <si>
    <t>CIF</t>
  </si>
  <si>
    <t>Radovia Lmg 841</t>
  </si>
  <si>
    <t>S/N Km 18-Volta Grande-Naxareno/Mg</t>
  </si>
  <si>
    <t>Cep 363702-000-Mg</t>
  </si>
  <si>
    <t>Mr. Lasmar Ronaldo</t>
  </si>
  <si>
    <t>Rlasmar@Lsm.Co.Uk</t>
  </si>
  <si>
    <t>Mibra</t>
  </si>
  <si>
    <t>Citra Logam Alpha Sejahtera</t>
  </si>
  <si>
    <t>Companhia Industrial Fluminense</t>
  </si>
  <si>
    <t>Rodovia Lmg 841,S/N Km 18-Volta Grande-Nazareno/Mg, Cep 363702-000-Mg-Brazil</t>
  </si>
  <si>
    <t>Volta Grande</t>
  </si>
  <si>
    <t>Brizil</t>
  </si>
  <si>
    <t>Niobec</t>
  </si>
  <si>
    <t>Tanco</t>
  </si>
  <si>
    <t>Almt</t>
  </si>
  <si>
    <t>4CHN020</t>
  </si>
  <si>
    <t>Chaina Shenzhen Morgan Sputtering Targets &amp; Technology Co.,Ltd</t>
  </si>
  <si>
    <t>Chaozhou Xianglu Tungsten Industry Co., Ltd. </t>
  </si>
  <si>
    <t>China Minmetals Nonferrous Metals Co Ltd</t>
  </si>
  <si>
    <t>China National Nonferrous Industry Corp.</t>
  </si>
  <si>
    <t>China Shenzhen Morgan Sputtering Targets &amp; Technology Co., Ltd.</t>
  </si>
  <si>
    <t>Chongyi Zhangyuan Tungsten Co Ltd</t>
  </si>
  <si>
    <t>Fujian Jinxin Tungsten Co.,Ltd</t>
  </si>
  <si>
    <t>Mr.Lian Jianguo</t>
  </si>
  <si>
    <t>N/A 0599-8512832</t>
  </si>
  <si>
    <t>Ti</t>
  </si>
  <si>
    <t>Fujian Province Nanping Ruimin Aluminium Product Engineering Co Ltd</t>
  </si>
  <si>
    <t>65 Gongye Road</t>
  </si>
  <si>
    <t>Yanping, Nanping</t>
  </si>
  <si>
    <t>Ganzhou Grand Sea W &amp; Mo Group Co Ltd</t>
  </si>
  <si>
    <t>Ganzhou Hongfei Tungsten &amp; Molybdenum Materials Co., Ltd.</t>
  </si>
  <si>
    <t>No. 4, Xi Jiao Rd., Ganzhou, Jiangxi Province, China</t>
  </si>
  <si>
    <t>Cindy Lee</t>
  </si>
  <si>
    <t>Guixi Smelting Plant</t>
  </si>
  <si>
    <t>Hc Starck</t>
  </si>
  <si>
    <t>Heyuan Carbide Co., Ltd</t>
  </si>
  <si>
    <t>Hunan Chenzhou Mining Group Co</t>
  </si>
  <si>
    <t>27f Building 2, Xiangyuzhongyang,No 253, Wu Yi Road</t>
  </si>
  <si>
    <t>Hunan,China</t>
  </si>
  <si>
    <t>Mr. Wang Su</t>
  </si>
  <si>
    <t>Admin@Znat.Com.Cn</t>
  </si>
  <si>
    <t>Jada Electronic Limited</t>
  </si>
  <si>
    <t>Jian De City Hengshan Tungsten Indstry Co.,Ltd</t>
  </si>
  <si>
    <t>Jian De Zhejiang China</t>
  </si>
  <si>
    <t>中華人民共和国</t>
  </si>
  <si>
    <t>Jiangxi Dinghai Tantalum &amp; Niobium Co., Ltd</t>
  </si>
  <si>
    <t>No.98hujiabian Road Fengxin Jiangxi China</t>
  </si>
  <si>
    <t>Fengxin, Jiangxi</t>
  </si>
  <si>
    <t>Eason Yu</t>
  </si>
  <si>
    <t>378325634@Qq.Com</t>
  </si>
  <si>
    <t>Compliant To The Cfsp Protocol</t>
  </si>
  <si>
    <t>Jiangxi Rare Earth &amp; Rare Metals Tungsten Group Corp</t>
  </si>
  <si>
    <t>No. 58, Mafangxia, Zhanggong, Ganzhou, Jiangxi, China</t>
  </si>
  <si>
    <t>Zhang Ji</t>
  </si>
  <si>
    <t>Jwjt-18@Jiangxi.Gov.Cn</t>
  </si>
  <si>
    <t>Jiangxi Tungsten Industry Group Co Ltd</t>
  </si>
  <si>
    <t>Mr.Feng Feng</t>
  </si>
  <si>
    <t>N/A 0795-3299088</t>
  </si>
  <si>
    <t>Kulba</t>
  </si>
  <si>
    <t>Luoyang Kewei Molybdenum &amp; Tungsten Co. Ltd</t>
  </si>
  <si>
    <t>Nanchang Cemented Caribide Limuted Liability Company</t>
  </si>
  <si>
    <t>No11/3 Shuang Gang East &amp; Technology Development  Zone</t>
  </si>
  <si>
    <t>Nachchang</t>
  </si>
  <si>
    <t>Curtis Lee</t>
  </si>
  <si>
    <t>Nantong Tongjie Electrical Co., Ltd.</t>
  </si>
  <si>
    <t>Orient Tantalum Industry Co.,Ltd</t>
  </si>
  <si>
    <t>Otic</t>
  </si>
  <si>
    <t>Shanghai Jiangxi Metals Co. Ltd</t>
  </si>
  <si>
    <t>CID001634</t>
  </si>
  <si>
    <t>Shenzhen Morgan Sputtering Targets &amp; Technology Co.</t>
  </si>
  <si>
    <t>No.45 Huangdang Rd</t>
  </si>
  <si>
    <t>Longhua, Shenzhen</t>
  </si>
  <si>
    <t>No.7,814 Road Ganzhou Jiangxi, China</t>
  </si>
  <si>
    <t>Mr. Zhuang Zhong Nen</t>
  </si>
  <si>
    <t>Tel: +86-7978134315</t>
  </si>
  <si>
    <t>Xiamen Tungsten Co Ltd</t>
  </si>
  <si>
    <t>Yao Gang Xian Mining</t>
  </si>
  <si>
    <t>Yichun Jin Yang Rare Metal Co., Ltd</t>
  </si>
  <si>
    <t>Ms. Mamo Yewubdar</t>
  </si>
  <si>
    <t>Sandvik Hard Mat.</t>
  </si>
  <si>
    <t>Goslar, Germany</t>
  </si>
  <si>
    <t>H.C. Starck Group</t>
  </si>
  <si>
    <t>CID000654</t>
  </si>
  <si>
    <t>Im Schleeke, 78-91  38642 Goslar, De</t>
  </si>
  <si>
    <t>Goslar / Germany</t>
  </si>
  <si>
    <t>Guido Klages</t>
  </si>
  <si>
    <t>Mibra; Gam</t>
  </si>
  <si>
    <t>Brazil; Australia</t>
  </si>
  <si>
    <t>Cfs, Ta Sputter Target And Coils For Use In Wafer Fab</t>
  </si>
  <si>
    <t>Innova Recycling Gmbh</t>
  </si>
  <si>
    <t>Metherma Gmbh &amp; Co Kg</t>
  </si>
  <si>
    <t>Arnheimer Strasse 109</t>
  </si>
  <si>
    <t>Düsseldorf</t>
  </si>
  <si>
    <t>Proprietary</t>
  </si>
  <si>
    <t>Starck</t>
  </si>
  <si>
    <t>Mettalurgical Products India Pvt. Ltd. (Mpil)</t>
  </si>
  <si>
    <r>
      <t>A.L.M.T.</t>
    </r>
    <r>
      <rPr>
        <sz val="11"/>
        <color rgb="FF000000"/>
        <rFont val="MS Gothic"/>
        <family val="3"/>
      </rPr>
      <t>　</t>
    </r>
    <r>
      <rPr>
        <sz val="11"/>
        <color rgb="FF000000"/>
        <rFont val="宋体"/>
        <family val="2"/>
        <scheme val="minor"/>
      </rPr>
      <t>Corp.</t>
    </r>
  </si>
  <si>
    <t>1-11-11, Shiba</t>
  </si>
  <si>
    <t>Tokyo-To</t>
  </si>
  <si>
    <t>Arroz Corporation</t>
  </si>
  <si>
    <t>Daido Steel</t>
  </si>
  <si>
    <t>Japan New Metals Co Ltd</t>
  </si>
  <si>
    <t>Akira Kawaguchi</t>
  </si>
  <si>
    <t>Akawaguc@Jnm.Co.Jp</t>
  </si>
  <si>
    <t>Jfe Steel Corporation</t>
  </si>
  <si>
    <r>
      <t xml:space="preserve">Jx Nippon Mining </t>
    </r>
    <r>
      <rPr>
        <sz val="11"/>
        <color rgb="FF000000"/>
        <rFont val="MS Gothic"/>
        <family val="3"/>
      </rPr>
      <t>＆</t>
    </r>
    <r>
      <rPr>
        <sz val="11"/>
        <color rgb="FF000000"/>
        <rFont val="宋体"/>
        <family val="2"/>
        <scheme val="minor"/>
      </rPr>
      <t xml:space="preserve"> Metals Corporation</t>
    </r>
  </si>
  <si>
    <t>Shoji Suzuki</t>
  </si>
  <si>
    <t>Shoji.Suzuki@Nmm.Jx-Group.Co.Jp</t>
  </si>
  <si>
    <t>Not On Cfs</t>
  </si>
  <si>
    <t>Kanto Denka Kogyo  Co., Ltd.</t>
  </si>
  <si>
    <t>Maruichi Steel Tube Ltd. Co.</t>
  </si>
  <si>
    <t>Matsuo Electric</t>
  </si>
  <si>
    <t>Metal Do Co. Ltd.</t>
  </si>
  <si>
    <t>5-6 Kyomachiborii 3-Chome Nishi-Ku Osaka 550-0003 Japan</t>
  </si>
  <si>
    <t>Ms.Tomomi Mizuno</t>
  </si>
  <si>
    <t>T-Mizuno@Raremetal.Co.Jp</t>
  </si>
  <si>
    <t>Mitsubishi Materials Corp.</t>
  </si>
  <si>
    <t>Nippon Mining &amp; Metals</t>
  </si>
  <si>
    <t>Sumitom Metal Mining Co.,Ltd</t>
  </si>
  <si>
    <t>Ulvac Tohoku,Inc.</t>
  </si>
  <si>
    <t>6-1-16north-Interchange Industrial Park</t>
  </si>
  <si>
    <t>Hachinohecity</t>
  </si>
  <si>
    <t>Aomori</t>
  </si>
  <si>
    <t>Toru Kobayashi</t>
  </si>
  <si>
    <t>Tooru_Kobayashi@Ulvac.Com</t>
  </si>
  <si>
    <t>Not A Smelter,Remelter</t>
  </si>
  <si>
    <t>Scrap</t>
  </si>
  <si>
    <t>Scrap In Japan</t>
  </si>
  <si>
    <t>Itsci Tagged Material</t>
  </si>
  <si>
    <t>Ulvac, Inc.</t>
  </si>
  <si>
    <t>516yokota</t>
  </si>
  <si>
    <t>Sanmucity</t>
  </si>
  <si>
    <t>Union Tool Co.Ltd</t>
  </si>
  <si>
    <t>Yano Metal</t>
  </si>
  <si>
    <t>Hc Starck Gmbh</t>
  </si>
  <si>
    <t>Wolfram Jsc</t>
  </si>
  <si>
    <t>Russia, South America</t>
  </si>
  <si>
    <t>Tantalite Resources</t>
  </si>
  <si>
    <t>CID001879</t>
  </si>
  <si>
    <t>Sw6 Clock Tower Rd., Aeci Industrial Complex</t>
  </si>
  <si>
    <t>Modderfontein Gauteng</t>
  </si>
  <si>
    <t>Rae-Dickie Clark</t>
  </si>
  <si>
    <t>Rae@Tantalitesa.Co.Za</t>
  </si>
  <si>
    <t>Nitora</t>
  </si>
  <si>
    <t>Nuvoton Technology Corp.</t>
  </si>
  <si>
    <t>E. Ma Ta Phut, Thailand</t>
  </si>
  <si>
    <t>Ms. Lin Min</t>
  </si>
  <si>
    <t>Agl</t>
  </si>
  <si>
    <t>Alent Plc</t>
  </si>
  <si>
    <t>Allegheny Ludlum</t>
  </si>
  <si>
    <t>Cabot</t>
  </si>
  <si>
    <t>Ma 02210</t>
  </si>
  <si>
    <t>Andrew O'donovan</t>
  </si>
  <si>
    <t>United States</t>
  </si>
  <si>
    <t>Designed Alloys</t>
  </si>
  <si>
    <t>Erasteel</t>
  </si>
  <si>
    <t>Fombell</t>
  </si>
  <si>
    <t>Gam (Cabot Corporation)</t>
  </si>
  <si>
    <t>Gannon &amp; Scott</t>
  </si>
  <si>
    <t>33 Kenney Drive</t>
  </si>
  <si>
    <t>Cranston</t>
  </si>
  <si>
    <t>Info@Gannon-Scott.Com</t>
  </si>
  <si>
    <t>CID000564</t>
  </si>
  <si>
    <t>2 Seaport Lane Suite</t>
  </si>
  <si>
    <t>(617) 342-6052</t>
  </si>
  <si>
    <t>Gtp Corp.</t>
  </si>
  <si>
    <t>4USA007</t>
  </si>
  <si>
    <t>Ies Technical Sales</t>
  </si>
  <si>
    <t>250 North Street</t>
  </si>
  <si>
    <t>Unit #A9, Danvers</t>
  </si>
  <si>
    <t>Ma, 01923</t>
  </si>
  <si>
    <t>Mike Berry</t>
  </si>
  <si>
    <t>Mike.B@Iest.Com</t>
  </si>
  <si>
    <t>Jade-Sterling</t>
  </si>
  <si>
    <t>Kamet Blue Powder Corporation</t>
  </si>
  <si>
    <t>Kennametal Inc</t>
  </si>
  <si>
    <t>Meterion Advanced Materials Thin Film Products</t>
  </si>
  <si>
    <t>Newton, Ma</t>
  </si>
  <si>
    <t>Pm Kalco Inc</t>
  </si>
  <si>
    <t>Remelt Sources, Inc.</t>
  </si>
  <si>
    <t>Thyssenkrupp Vdm Usa, Inc</t>
  </si>
  <si>
    <t>Tejing (Vietnam) Tungsten Co Ltd</t>
  </si>
  <si>
    <t>Vietnam Yougsun Tungsten Industry Co.,Ltd.</t>
  </si>
  <si>
    <t>No.9-10 Cai Lan Industrial Zone</t>
  </si>
  <si>
    <t>Ha Long City</t>
  </si>
  <si>
    <t>Quang Ninh Province</t>
  </si>
  <si>
    <t>Mr.Huang Ming Xing</t>
  </si>
  <si>
    <t>Info@Wfyoungsun.Com</t>
  </si>
  <si>
    <t>Solikamsk Magnesium Works Oao</t>
  </si>
  <si>
    <t>346 Miyanishi,Harima-Cho</t>
  </si>
  <si>
    <t>Ulba Metallurgical Plant Jsc</t>
  </si>
  <si>
    <t>Kazakhstan</t>
  </si>
  <si>
    <t>Xinxing Haorong Electronic Material Co., Ltd.</t>
  </si>
  <si>
    <t>Lingkungan Jelitik Sungaliat, Kawasan Industri</t>
  </si>
  <si>
    <t>Ms. Meily Tanoto</t>
  </si>
  <si>
    <t>Meily.Tanoto@Gmail.Com</t>
  </si>
  <si>
    <t>Indonesia  Ore (No Mine Name)</t>
  </si>
  <si>
    <t>Yunnan Chengfeng Non-Ferrous Metals Co., Ltd.</t>
  </si>
  <si>
    <t>China Rare Metal Materials Company</t>
  </si>
  <si>
    <t>Liuzhou</t>
  </si>
  <si>
    <r>
      <t>China Yunnan Tin Co Ltd</t>
    </r>
    <r>
      <rPr>
        <sz val="11"/>
        <color rgb="FF000000"/>
        <rFont val="MS Gothic"/>
        <family val="3"/>
      </rPr>
      <t>｡</t>
    </r>
  </si>
  <si>
    <t>Laibin,Guangxi,China</t>
  </si>
  <si>
    <t>Miss Liu</t>
  </si>
  <si>
    <t>Huaxi@China- Tin.Com</t>
  </si>
  <si>
    <t>Cnmc (Guangxi) Pgma Co. Ltd.</t>
  </si>
  <si>
    <t>Mine Company</t>
  </si>
  <si>
    <t>Cv Ayi Jaya</t>
  </si>
  <si>
    <t>Cv Gita Pesona</t>
  </si>
  <si>
    <t>Cv Justindo</t>
  </si>
  <si>
    <t>Cv Nurjanah</t>
  </si>
  <si>
    <t>Cv Serumpun Sebalai</t>
  </si>
  <si>
    <t>Cv Venus Inti Perkasa</t>
  </si>
  <si>
    <t>60-1 Otarube</t>
  </si>
  <si>
    <t>Ikari Tsuchida</t>
  </si>
  <si>
    <t>Tsuchidi@Dowa.Co.Jp</t>
  </si>
  <si>
    <t>Electro-Mechanical Facility Of The Cao Bang Minerals &amp; Metallurgy Joint Stock Company</t>
  </si>
  <si>
    <t>Elmet S.L.U (Metallo Group)</t>
  </si>
  <si>
    <t>Carretera Oruro A Cala Cala Km. 7,5 Zona Vinto,</t>
  </si>
  <si>
    <t>Casilla: 612,</t>
  </si>
  <si>
    <t>Ing. Ramiro Villavicencio N.G.</t>
  </si>
  <si>
    <t>Estanho De Rondônia S.A.</t>
  </si>
  <si>
    <t>Pisco Playa Pisco - Ica</t>
  </si>
  <si>
    <t>Ms. Rosa Reategui</t>
  </si>
  <si>
    <t>Rosa.Reategui@Minsur.Com</t>
  </si>
  <si>
    <t>Gejiu Kai Meng Industry And Trade Llc</t>
  </si>
  <si>
    <t>Gejiu Non-Ferrous Metal Processing Co. Ltd.</t>
  </si>
  <si>
    <t>Gejiu,Yunnan, China</t>
  </si>
  <si>
    <t>Mr. Wu Yin</t>
  </si>
  <si>
    <t>China, Indonesia</t>
  </si>
  <si>
    <t>0873-3116262 Available Only</t>
  </si>
  <si>
    <t>632hic@163.Com|Sales@Zlky.Com</t>
  </si>
  <si>
    <t>Na|Yunnan Tin Mine And Complex Gejiu|Verification In Coordination Through Anthony.Depaoli@Amkor.Com|Verification Through Mjmcgrat@Us.Ibm.Com</t>
  </si>
  <si>
    <t>Gejiu Zili Mining&amp;Smelting Co., Ltd.|China|Yunnan Gejiu</t>
  </si>
  <si>
    <t>Huogudu, Jijie Town Gejiu, Yunnan 661000</t>
  </si>
  <si>
    <t>Yun Zhou/</t>
  </si>
  <si>
    <t>Yuanliao@Zlky.Com</t>
  </si>
  <si>
    <t>Huichang Jinshunda Tin Co. Ltd</t>
  </si>
  <si>
    <t>Nine Two Huichang County Industrial Base</t>
  </si>
  <si>
    <t>Mr Wang</t>
  </si>
  <si>
    <t>Hcjsdxy@163.Com</t>
  </si>
  <si>
    <t>Kawasan Industri Ketapang Pangkalpinang,</t>
  </si>
  <si>
    <t>Mr.Johnny Sisviandi</t>
  </si>
  <si>
    <t>Tin Cfs List Is Still Under Development And Not Published Yet</t>
  </si>
  <si>
    <t>Magnu's Minerais Metais E Ligas Ltda</t>
  </si>
  <si>
    <t>Rua Antonio Pedro Da Trindade,Sao Joao Del Rei 36305-076</t>
  </si>
  <si>
    <t>(32) 3371 6169</t>
  </si>
  <si>
    <t>Alpha Is Removing Smelter From Its Supply Chain</t>
  </si>
  <si>
    <t>Pt Coba Tin</t>
  </si>
  <si>
    <t>Melt Metais E Ligas S/A</t>
  </si>
  <si>
    <t>Brasil</t>
  </si>
  <si>
    <t>2900 Schoten</t>
  </si>
  <si>
    <t>Schoten</t>
  </si>
  <si>
    <t>Av. Constantino Neri, 2789 10 Andarsala 1003/1004</t>
  </si>
  <si>
    <t>Manaus - Am</t>
  </si>
  <si>
    <t>Ms.Luciana Miranda Pagnoncelli</t>
  </si>
  <si>
    <t>Lpagnoncelli@Mtaboca.Com.Br</t>
  </si>
  <si>
    <t>Cfs Validated</t>
  </si>
  <si>
    <t>Mitsubishi Material Corporation</t>
  </si>
  <si>
    <t>Nghe Tin Non-Ferrous Metals Joint Stock Company</t>
  </si>
  <si>
    <t>Tt.Quỳ Hợp</t>
  </si>
  <si>
    <t>H.Quỳ Hợp</t>
  </si>
  <si>
    <t>T.Nghệ An</t>
  </si>
  <si>
    <t>Kimloaimaunt@Yahoo.Com.Vn</t>
  </si>
  <si>
    <t>Pt Artha Cipta Langgeng</t>
  </si>
  <si>
    <t>Pt Atd Makmur Mandiri Jaya</t>
  </si>
  <si>
    <t>Pt Babel Inti Perkasa</t>
  </si>
  <si>
    <t>Pt Bangka Prima Tin</t>
  </si>
  <si>
    <t>Pt Bangka Timah Utama Sejahtera</t>
  </si>
  <si>
    <t>Pt Bangka Tin Industry</t>
  </si>
  <si>
    <t>Pt Cipta Persada Mulia</t>
  </si>
  <si>
    <t>Ji.Ketapang,Kawasan Industri Pangkal Pinang Bangka- Indonesia</t>
  </si>
  <si>
    <t>Pt Inti Stania Prima</t>
  </si>
  <si>
    <t>Pt Karimun Mining</t>
  </si>
  <si>
    <t>Pt Panca Mega Persada</t>
  </si>
  <si>
    <t>Pt Pelat Timah Nusantara Tbk</t>
  </si>
  <si>
    <t>Pt Prima Timah Utama</t>
  </si>
  <si>
    <t>Pt Seirama Tin Investment</t>
  </si>
  <si>
    <t>Bangka Island, Bangka Nelitung Province</t>
  </si>
  <si>
    <t>Pt Tirus Putra Mandiri</t>
  </si>
  <si>
    <t>Pt Tommy Utama</t>
  </si>
  <si>
    <t>Pt Wahana Perkit Jaya</t>
  </si>
  <si>
    <t>Recycled, Level 1 Countries</t>
  </si>
  <si>
    <t>An Xin Xuan Xin Yue You Se Jin Shu Co. Ltd.</t>
  </si>
  <si>
    <t>Different Smelters Named</t>
  </si>
  <si>
    <t>Eximetal S.A.</t>
  </si>
  <si>
    <t>Charcas 1965</t>
  </si>
  <si>
    <t>Lomas Del Mirador</t>
  </si>
  <si>
    <t>Eximetal@Speedy.Com.Ar</t>
  </si>
  <si>
    <t>Ganzhou Sinda W&amp;Mo Co.,Ltd</t>
  </si>
  <si>
    <t>Ausmelt Limited</t>
  </si>
  <si>
    <t>12 Kitchen Road</t>
  </si>
  <si>
    <t>Dandenong</t>
  </si>
  <si>
    <t>China Tin Smelter Co. Ltd.</t>
  </si>
  <si>
    <t>Hayes Metals Pty Ltd</t>
  </si>
  <si>
    <t>Northern Smelter</t>
  </si>
  <si>
    <t>Nyrstar</t>
  </si>
  <si>
    <t>Risdon Road</t>
  </si>
  <si>
    <t>Lutana</t>
  </si>
  <si>
    <t>Tasmania 7009</t>
  </si>
  <si>
    <t>Martin Van Leeuwen</t>
  </si>
  <si>
    <t>Communications@Nyrstar.Com</t>
  </si>
  <si>
    <t>Australi</t>
  </si>
  <si>
    <t>Peninsular De Laton</t>
  </si>
  <si>
    <t>Tennant Metal Pty Ltd.</t>
  </si>
  <si>
    <t>201 Kent Street</t>
  </si>
  <si>
    <t>Sydney</t>
  </si>
  <si>
    <t>Nsw 2000</t>
  </si>
  <si>
    <t>Tin Shares</t>
  </si>
  <si>
    <t>Pt Smelting</t>
  </si>
  <si>
    <t>Chorus Tata Steel</t>
  </si>
  <si>
    <t>See Form Sd, Section 4</t>
  </si>
  <si>
    <t>Galloo N.V.</t>
  </si>
  <si>
    <t>Wervikstraat 320</t>
  </si>
  <si>
    <t>B-8930 Menen</t>
  </si>
  <si>
    <t>Rik Debaere</t>
  </si>
  <si>
    <t>Rik.Debaere@Galloo.Com</t>
  </si>
  <si>
    <t>Jean Goldschmidt International S.A.</t>
  </si>
  <si>
    <t>Thomas Dupont</t>
  </si>
  <si>
    <t>The Conflict Free Compliant Smelter List Has Not Yet Been Published</t>
  </si>
  <si>
    <t>Ju Tai Industrial Co.,Ltd.</t>
  </si>
  <si>
    <t>Pt. Solder Indonesia</t>
  </si>
  <si>
    <t>Umicore Haboken</t>
  </si>
  <si>
    <t>Univertical International</t>
  </si>
  <si>
    <t>Complejo Metalurgico Vinto S.A.</t>
  </si>
  <si>
    <t>Smelter Country Via Internet Research</t>
  </si>
  <si>
    <t>Empresa Metallurgica Vinto</t>
  </si>
  <si>
    <t>Km 7 Carretera Vinto Oruro, Bolivia</t>
  </si>
  <si>
    <t>Mr. Garcia Fernandez</t>
  </si>
  <si>
    <t>Ruth.Garcia@Vinto.Gob.Bo</t>
  </si>
  <si>
    <t>Minsur Bolivia</t>
  </si>
  <si>
    <t>Oxbow Metales De Mexico S. De R.L De C.V.</t>
  </si>
  <si>
    <t>Productos Minerales Del Norte S.A. De C.V.</t>
  </si>
  <si>
    <t>Sgs Bolivia S.A.</t>
  </si>
  <si>
    <t>Avenue 6 De Marzo, Calle No 10 No 115 El Alto, 3282 La Paz Bolivia</t>
  </si>
  <si>
    <t>La Paz</t>
  </si>
  <si>
    <t>Liuzhou Smelter</t>
  </si>
  <si>
    <t>Shenmao Technology Inc.</t>
  </si>
  <si>
    <t>Trafilerie Carlo Gnutti</t>
  </si>
  <si>
    <t>Atm Estanho Ind Com Imp Exp Ltda</t>
  </si>
  <si>
    <t>Cachoeirinha</t>
  </si>
  <si>
    <t>Rio Grande Do Sul</t>
  </si>
  <si>
    <t>Ivanete Nobre</t>
  </si>
  <si>
    <t>Comercial@Atmestanho.Com.Br</t>
  </si>
  <si>
    <t>Best Metals</t>
  </si>
  <si>
    <t>Arteixeira@Bestmetais.Com.Br</t>
  </si>
  <si>
    <t>Areixeira@Bestmetals.Com.Br</t>
  </si>
  <si>
    <t>Canfield</t>
  </si>
  <si>
    <t>Cfc Cooperativa Dos Fundidores De Cassiterita Da Amazônia Ltda.</t>
  </si>
  <si>
    <t>Carlos Mena (Owner)</t>
  </si>
  <si>
    <t>Carlosmena@Carlosmena.Com.Br</t>
  </si>
  <si>
    <t>Cooerativa Produtores De Cassiterita</t>
  </si>
  <si>
    <t>Cooperativa Dos Fundidores De Cassiterita Da Amazonia Ltda</t>
  </si>
  <si>
    <t>Coopermetal - Cooperativa Metalúrgica De Rondônia Ltda.</t>
  </si>
  <si>
    <t>Linha C 75, 0 Cep 76870-971 - Zona Rural - Ariquemes - Ro</t>
  </si>
  <si>
    <t>Ronaldo Barbacena (General Manager)</t>
  </si>
  <si>
    <t>Gerencia.Adm@Coopermetalro.Com.Br</t>
  </si>
  <si>
    <t>Copper 100</t>
  </si>
  <si>
    <t>Deawoo International</t>
  </si>
  <si>
    <t>Ferro Alloys De México, S.A. De C.V.</t>
  </si>
  <si>
    <t>Fundição Regali</t>
  </si>
  <si>
    <t>José Fabiano De Christo Gurjão, 490</t>
  </si>
  <si>
    <t>Mogi Mirin</t>
  </si>
  <si>
    <t>Ruberlucio Viana Costa</t>
  </si>
  <si>
    <t>Ruberlucio@Regalibrasil.Com.Br</t>
  </si>
  <si>
    <t>Fundipar</t>
  </si>
  <si>
    <t>Avenida Das Nações, 1720 - Cep 83705-110</t>
  </si>
  <si>
    <t>Araucária</t>
  </si>
  <si>
    <t>Parana</t>
  </si>
  <si>
    <t>David Freitas</t>
  </si>
  <si>
    <t>Fundipar@Terra.Com.Br</t>
  </si>
  <si>
    <t>Fundituba Indústria Metalúrgica Ltda.</t>
  </si>
  <si>
    <t>Avenida Francisco De Paula Leite, 2242</t>
  </si>
  <si>
    <t>Indaiatuba</t>
  </si>
  <si>
    <t>Sp</t>
  </si>
  <si>
    <t>Marcos Demori</t>
  </si>
  <si>
    <t>Marcos.Demori@Fundituba.Com.Br</t>
  </si>
  <si>
    <t>Av San Martin No 1371  Res Residential</t>
  </si>
  <si>
    <t>Pisco</t>
  </si>
  <si>
    <t>Mr. Vivaldi Camargo</t>
  </si>
  <si>
    <t>Adm@Ibfl.Com.Br</t>
  </si>
  <si>
    <t>Inbra Ind E Comercio De Metais Ltda</t>
  </si>
  <si>
    <t>Avenida Industrial, 651 - Cep 08586-150</t>
  </si>
  <si>
    <t>Itaquaquecetuba</t>
  </si>
  <si>
    <t>Incesa Comp. Elétricos Ltda</t>
  </si>
  <si>
    <t>R. D N° 81</t>
  </si>
  <si>
    <t>Olímpia</t>
  </si>
  <si>
    <t>Luiz Henrique Cobracho</t>
  </si>
  <si>
    <t>Lhenrique@Incesa.Com.Br</t>
  </si>
  <si>
    <t>Ind, Brasiliera De Ferroligas Ltda</t>
  </si>
  <si>
    <t>Industria Brasileira De Ferro Ligas Ltda</t>
  </si>
  <si>
    <t>Ishihara Chemical Co. Ltd.</t>
  </si>
  <si>
    <t>Paranapanema</t>
  </si>
  <si>
    <t>Prifer Com De Sucata</t>
  </si>
  <si>
    <t>Resind Indústria E Comércio Ltda</t>
  </si>
  <si>
    <t>São João Del Rei</t>
  </si>
  <si>
    <t>Cfsp Compliant</t>
  </si>
  <si>
    <t>Super Ligas</t>
  </si>
  <si>
    <t>Estrada Dos Marins 3,3</t>
  </si>
  <si>
    <t>Piracicaba</t>
  </si>
  <si>
    <t>Denilson</t>
  </si>
  <si>
    <t>Denilson@Superligasmetais.Com.Br</t>
  </si>
  <si>
    <t>Cooperativa De Mineração Dos Garimpeiros De São Félix Do Xingú – Coomix</t>
  </si>
  <si>
    <t>Endereço.: Av. Piauí, Nº 2562  Bairro: São Francisco Cep: 68380-000 Cidade: São Félix Do Xingú, Estado: Pará, Brasil Cnpj: 13.624.488/0001-70 Brazil</t>
  </si>
  <si>
    <t>Taboca/Paranapanema</t>
  </si>
  <si>
    <t>Termomecanica</t>
  </si>
  <si>
    <t>Tratho Metal Química Ltda.</t>
  </si>
  <si>
    <t>Mogi Das Cruzes</t>
  </si>
  <si>
    <t>White Solder Metalurgia</t>
  </si>
  <si>
    <t>Rodovia 421, Km 1,1 Nº 917 Cep 76877-073 | Cx Postal: 433</t>
  </si>
  <si>
    <t>Http://Www.Whitesolder.Com.Br/Index.Php?Option=Com_Alfcontact&amp;Itemid=111&amp;Lang=En</t>
  </si>
  <si>
    <t>Tor@Torparticipacoes.Com.Br</t>
  </si>
  <si>
    <t>Ariquemes, Rodovia</t>
  </si>
  <si>
    <t>Mathieu Germain</t>
  </si>
  <si>
    <t>Aim Solder</t>
  </si>
  <si>
    <t>Aleris (Provides Aluminum Alloy To Orlick)</t>
  </si>
  <si>
    <t>Joe Giorgo</t>
  </si>
  <si>
    <t>Joe.Giorgo@Aleris.Com</t>
  </si>
  <si>
    <t>American Iron And Metal</t>
  </si>
  <si>
    <t>Chris Carkner</t>
  </si>
  <si>
    <t>Essar Steel Algoma</t>
  </si>
  <si>
    <t>Glencore</t>
  </si>
  <si>
    <t>Irm</t>
  </si>
  <si>
    <t>Qit</t>
  </si>
  <si>
    <t>777 Dunsmuir St., Suite 1900</t>
  </si>
  <si>
    <t>Bc, V7y 1e9</t>
  </si>
  <si>
    <t>Teck Metals Ltd</t>
  </si>
  <si>
    <t>Vale Inco, Ltd</t>
  </si>
  <si>
    <t>(Yunnan) Gejiu Zili Metallurgy Co.</t>
  </si>
  <si>
    <t>Huogudu, Zhadian Town Or</t>
  </si>
  <si>
    <t>Zhou Yun</t>
  </si>
  <si>
    <t>Tel: +86 873 2212429</t>
  </si>
  <si>
    <t>Ai-Chia Industrial Co., Ltd.</t>
  </si>
  <si>
    <t>Aijiafa</t>
  </si>
  <si>
    <t>Ak Steel</t>
  </si>
  <si>
    <t>Almit</t>
  </si>
  <si>
    <t>Ami Bridge Enterprise Co., Ltd.</t>
  </si>
  <si>
    <t>Baoding, Hebei</t>
  </si>
  <si>
    <t>Hebei</t>
  </si>
  <si>
    <t>General Yang</t>
  </si>
  <si>
    <t>Yangmingliang@Sina.Com</t>
  </si>
  <si>
    <t>Anson Solder &amp; Tin Products Made Ltd.</t>
  </si>
  <si>
    <t>Aoki Loboratories Ltd.</t>
  </si>
  <si>
    <t>Stanley Chan</t>
  </si>
  <si>
    <t>Stanley@Aokilab.Com Tel: +852-24989313</t>
  </si>
  <si>
    <t>Asahi Solder Technology (Wuxi) Co. Ltd.</t>
  </si>
  <si>
    <t>Asahiseiren Co.,Ltd</t>
  </si>
  <si>
    <t>Asem</t>
  </si>
  <si>
    <t>Ayrubis</t>
  </si>
  <si>
    <t>Baidu</t>
  </si>
  <si>
    <t>Bangjia Island</t>
  </si>
  <si>
    <t>Banka</t>
  </si>
  <si>
    <t>Bantian Longgang District,Shenzhen Clty ,Guangdong Province China</t>
  </si>
  <si>
    <t>Bao Yu Hua</t>
  </si>
  <si>
    <t>Baoshenglong</t>
  </si>
  <si>
    <t>Baotai</t>
  </si>
  <si>
    <t>Beijing Boda Xihanliao Co., Ltd.</t>
  </si>
  <si>
    <t>Beijing Oriental Guide Welding Materials Co., Ltd.</t>
  </si>
  <si>
    <t>No.3, Nangao Village, Nangaoxiang Township, Chaoyang District, Beijing</t>
  </si>
  <si>
    <t>Boliden Bergsoe Ab</t>
  </si>
  <si>
    <t>Boyi Metal Electro Fty.</t>
  </si>
  <si>
    <t>Hunag Xi Area Shiwan Town Boluo Guangdong Province Prc</t>
  </si>
  <si>
    <t>Boluo</t>
  </si>
  <si>
    <t>Huizhou</t>
  </si>
  <si>
    <t>Yang Jiang</t>
  </si>
  <si>
    <t>Boyijy@Sina.Com</t>
  </si>
  <si>
    <t>Brinkmann Chemie Ag</t>
  </si>
  <si>
    <t>Chaoyue</t>
  </si>
  <si>
    <t>Chengli Hanxi Co.Ltd</t>
  </si>
  <si>
    <t>Chenzhou Gold Arrow Solder Co.,Ltd</t>
  </si>
  <si>
    <t>Chenzhou Yunxiang Mineral Smelting Co.,Ltd</t>
  </si>
  <si>
    <t>China Guangxi Liuzhou City, Tin Metal Materials Branch</t>
  </si>
  <si>
    <t>China Hiroshima Xi Nandan Chinese Tin Sets Foundation</t>
  </si>
  <si>
    <t>China Hongqiao Group Limited</t>
  </si>
  <si>
    <t>China Lai Bin Tin Smelting Co,.Ltd</t>
  </si>
  <si>
    <t>China Minmetals Ganzhou Tin Co. Ltd.</t>
  </si>
  <si>
    <t>China Nandan Set</t>
  </si>
  <si>
    <t>China New Materials</t>
  </si>
  <si>
    <t>China Tin Lai Ben Smelter Co., Ltd</t>
  </si>
  <si>
    <t>Chinalco Luoyang Copper Co., Ltd.</t>
  </si>
  <si>
    <t>Chinese Guangxi Nantansintertin Group</t>
  </si>
  <si>
    <t>Chinese Hunan Province Chenzhou City</t>
  </si>
  <si>
    <t>Chineseguangxinantansintertingroup</t>
  </si>
  <si>
    <t>Chuangye Metal Wiring Materials Co., Ltd.</t>
  </si>
  <si>
    <t>Chutan Ganxian County, Jiangxi, China</t>
  </si>
  <si>
    <t>Cloud New Nonferrous Electrolytic Company Limited</t>
  </si>
  <si>
    <t>Cofermetal</t>
  </si>
  <si>
    <t>Company Internal Information Un Disclosure</t>
  </si>
  <si>
    <t>Csc Pure Technologies</t>
  </si>
  <si>
    <t>Dae Kil Metal Co., Ltd</t>
  </si>
  <si>
    <t>Dede Kimya</t>
  </si>
  <si>
    <t>Doctor Of Solder Products Co., Ltd</t>
  </si>
  <si>
    <t>Dong Guan Shenmao Soldering Tin Co;Ltd</t>
  </si>
  <si>
    <t>Dongguan City Huayu Metals Material Co.,Ltd</t>
  </si>
  <si>
    <t>Dongguan City Jiubo Electronic Science And Technology Co.,Ltd</t>
  </si>
  <si>
    <t>Dongguan City Up Another Metal Copper Processing Plant</t>
  </si>
  <si>
    <t>Dongguan City Xida Soldering Tin Products Co.,Ltd</t>
  </si>
  <si>
    <t>Dongguan Dongxu Metal Surface Handle Co.,Ltd.</t>
  </si>
  <si>
    <t>Dongguan Huayu Metal-Material Co., Ltd.</t>
  </si>
  <si>
    <t>Dongguan Lason Metel Materials Co,.Ltd</t>
  </si>
  <si>
    <t>Dongguan Qiandao Tin Co.,Ltd</t>
  </si>
  <si>
    <t>Dongguan Yuecheng Metal Materials Co., Ltd.</t>
  </si>
  <si>
    <t>Dongguan Zhong Ju Tin Electronic Co.,Ltd.</t>
  </si>
  <si>
    <t>Donggun City Huayu Metals Material Co.,Ltd</t>
  </si>
  <si>
    <t>Duoluoshan Sapphire Rare Metal Co. Ltd</t>
  </si>
  <si>
    <t>Ebara-Udylite</t>
  </si>
  <si>
    <t>Efd Inc.</t>
  </si>
  <si>
    <t>Electroloy Metal Pte Ltd</t>
  </si>
  <si>
    <t>Long Hua Town, Bao An District</t>
  </si>
  <si>
    <t>Hai Feng Yuan</t>
  </si>
  <si>
    <t>Kevin.Yuan@Electroloy.Com.Cn</t>
  </si>
  <si>
    <t>E-Tech Philippines</t>
  </si>
  <si>
    <t>Excellent Anti-Copper Materials (Suzhou) Co. , Ltd.</t>
  </si>
  <si>
    <t>F.Lli Costa</t>
  </si>
  <si>
    <t>First Copper Technology Co., Ltd.</t>
  </si>
  <si>
    <t>Five Gold Steel Material Processing?Dongguan Tangxia Re- Sho</t>
  </si>
  <si>
    <t>Foshan Nanhai Xihai Metal Material Co., Ltd.</t>
  </si>
  <si>
    <t>Fujian Zijin Copper Industry Co.,Ltd</t>
  </si>
  <si>
    <t>Gannan Tin Smelter</t>
  </si>
  <si>
    <t>Ganzhou City, Jiangxi Province On The Jewish Xinmao Tin Co., Ltd.</t>
  </si>
  <si>
    <t>Ganzhou Huaxing Tungsten</t>
  </si>
  <si>
    <t>Maxiafang</t>
  </si>
  <si>
    <t>Mr. Chang Yu Zhong</t>
  </si>
  <si>
    <t>Dept1@Cniecjx.Com.Cn</t>
  </si>
  <si>
    <t>Gaoxin Tin Industry(Huizhou) Co., Ltd</t>
  </si>
  <si>
    <t>Ge Jiu City Datun Chengfeng Smelter</t>
  </si>
  <si>
    <t>Ge Jiu Lian Chang</t>
  </si>
  <si>
    <t>Geib Refining Corp.</t>
  </si>
  <si>
    <t>Geiju Jinye Mineral Co., Ltd.</t>
  </si>
  <si>
    <t>Wu Ying</t>
  </si>
  <si>
    <t>Geiju Ye Lian Chang</t>
  </si>
  <si>
    <t>Geiju Yunxin Nonferrous Electrolysis Ltd.</t>
  </si>
  <si>
    <t>Gejiu Gold Smelter Minerals Co.,Ltd</t>
  </si>
  <si>
    <t>Duxia Valley Village Jijie Street</t>
  </si>
  <si>
    <t>Mrs Zhu</t>
  </si>
  <si>
    <t>819335100@Qq.Com</t>
  </si>
  <si>
    <t>Gejiu Jinye Mineral Co., Ltd.</t>
  </si>
  <si>
    <t>Sub-Supplier Comment: Supplier Notified To Become Certified Or Be Eliminated From Supply Chain By Dec</t>
  </si>
  <si>
    <t>Gejiu Yelian Chang</t>
  </si>
  <si>
    <t>Gejiushi In Yunnan Tin Co., Ltd</t>
  </si>
  <si>
    <t>Gem Terminal Ind.Co.,Ltd</t>
  </si>
  <si>
    <t>West Road, Guangxi, P.R.C.</t>
  </si>
  <si>
    <t>Mjmcgrat@Us.Ibm.Com</t>
  </si>
  <si>
    <t>Grande</t>
  </si>
  <si>
    <t>Growing And Chemical (Suzhou) Co., Ltd.</t>
  </si>
  <si>
    <t>Guang Xi Liu Zhou</t>
  </si>
  <si>
    <t>Guang Zhou Hong Wuxi Products Limited</t>
  </si>
  <si>
    <t>Guangdong Huajing Metal Profile Co., Ltd.</t>
  </si>
  <si>
    <t>Guangdong Jiatian Stannum Products Co., Ltd</t>
  </si>
  <si>
    <t>Guangxi China Tin Group Co., Ltd.</t>
  </si>
  <si>
    <t>Guangxi China Tin Metal Meterials Company</t>
  </si>
  <si>
    <t>Guangxi Huaxi Group Limited</t>
  </si>
  <si>
    <t>Zizhiqu</t>
  </si>
  <si>
    <t>Guangxi Province</t>
  </si>
  <si>
    <t>Ruan Ye</t>
  </si>
  <si>
    <t>Clw2089@Sin.Com</t>
  </si>
  <si>
    <t>Ganzhou Grand Metals Minerals Industry</t>
  </si>
  <si>
    <t>Guangxi Jin Lian</t>
  </si>
  <si>
    <t>Guangxi Liu Zhou</t>
  </si>
  <si>
    <t>Yuan Mohua</t>
  </si>
  <si>
    <t>Email: Clw2089@Sina.Com</t>
  </si>
  <si>
    <t>Guangxi Nonferrous Metals Group (Hechi Xinhua Smelting Limited Company)</t>
  </si>
  <si>
    <t>Guangxi Pinggui Pgma Co., Ltd.</t>
  </si>
  <si>
    <t>Guangxi Zhongshan Jin Yi Smelting Co., Ltd.</t>
  </si>
  <si>
    <t>County West Road</t>
  </si>
  <si>
    <t>Guangxi, China</t>
  </si>
  <si>
    <t>He Xiu Chong</t>
  </si>
  <si>
    <t>Gbs@Gbstin.Com</t>
  </si>
  <si>
    <t>Guangzhou Pacific Tinplate Co,.Ltd.</t>
  </si>
  <si>
    <t>Guangzhou Special Copper &amp; Electronics Material Co.,Ltd</t>
  </si>
  <si>
    <t>No.58, Nanyun 2 Road, Science City</t>
  </si>
  <si>
    <t>Han Ming Chen</t>
  </si>
  <si>
    <t>Lwd0307@126.Com</t>
  </si>
  <si>
    <t>Ge Jiu City Yun Nan In Province</t>
  </si>
  <si>
    <t>Guangzhou Tianshuo Electroni Technology.Co.Ltd</t>
  </si>
  <si>
    <t>Guanxi China Tin Group Co.,Ltd</t>
  </si>
  <si>
    <t>Http://Www.China-Tin.Com</t>
  </si>
  <si>
    <t>Curent Use Recycled Ta</t>
  </si>
  <si>
    <t>H L Thorne</t>
  </si>
  <si>
    <t>Haascnc</t>
  </si>
  <si>
    <t>Hai Yuxin Xi Zhuhai Co., Ltd.</t>
  </si>
  <si>
    <t>Hainan Haikou</t>
  </si>
  <si>
    <t>Haiwoo</t>
  </si>
  <si>
    <t>Hanbaek Nonferrous Metals</t>
  </si>
  <si>
    <t>Hangzhou Youbang Soldering Materials Co.,Ltd</t>
  </si>
  <si>
    <t>Hechi Metallurgical Chemical Factory</t>
  </si>
  <si>
    <t>Henan Zhongyuan Gold Smelting Limited Liability Company.</t>
  </si>
  <si>
    <t>Hengtai Wiring Materials Co., Ltd.</t>
  </si>
  <si>
    <t>Heraesu Materials Technology Gmbh &amp; Co.Ltd</t>
  </si>
  <si>
    <t>Heraesu Zhaoyuan Changshu Electronic Material Co.,Ltd</t>
  </si>
  <si>
    <t>Heraeus Materials Technology Gmbh &amp; Co. Kg</t>
  </si>
  <si>
    <t>Heraeus S.P.A.</t>
  </si>
  <si>
    <t>Heraeus Zhaoyuan Precious Metal Materials Co.,Ltd.</t>
  </si>
  <si>
    <t>High-Power Surface Technology</t>
  </si>
  <si>
    <t>Honeywell Electronic Materials</t>
  </si>
  <si>
    <t>Hong-Qiao Co., Ltd.</t>
  </si>
  <si>
    <t>Hongqiao Metal</t>
  </si>
  <si>
    <t>Hq Metal Products(Ks)Co.Ltd</t>
  </si>
  <si>
    <t>Huahong Co., Ltd</t>
  </si>
  <si>
    <t>CFSI Cert.</t>
  </si>
  <si>
    <t>Huanggang Tongding</t>
  </si>
  <si>
    <t>Huaxi Group Of Nandan</t>
  </si>
  <si>
    <t>Reported By Suppliers Who Providesubstrate, Component, Lid</t>
  </si>
  <si>
    <t>Huaxi Guangxi Group</t>
  </si>
  <si>
    <t>Huaxi Metals Co.,Ltd</t>
  </si>
  <si>
    <t>Huaxi Tin (Liuzhou) Co. Ltd</t>
  </si>
  <si>
    <t>Hubei Huanggang Tong Ding Metal Materials Co., Ltd</t>
  </si>
  <si>
    <t>Huiliang</t>
  </si>
  <si>
    <t>Huizhou Taiwan Electronic Component Limited Company</t>
  </si>
  <si>
    <t>Huizhou Tin High-Tech Co., Ltd.</t>
  </si>
  <si>
    <t>Humen, Dongguan, China West Lake Industrial Zone</t>
  </si>
  <si>
    <t>Hunan Xianghualing Tin Co. Ltd</t>
  </si>
  <si>
    <t>Increasingly And Chemical (Suzhou) Co., Ltd.</t>
  </si>
  <si>
    <t>Mr.Zhang</t>
  </si>
  <si>
    <t>Ben_Zhang@Ssmst.Com</t>
  </si>
  <si>
    <t>Indonesian Tin Ingot</t>
  </si>
  <si>
    <t>Innovation Factory, Old Town ,Gejiu, Honghe Hani Yi Autonomous Prefecture,Yunnan ,China</t>
  </si>
  <si>
    <t>Ips (Suzhou) New Materials Co. Ltd</t>
  </si>
  <si>
    <t>Jau Janq Enterprise Co., Ltd.</t>
  </si>
  <si>
    <t>Jia Tian</t>
  </si>
  <si>
    <t>Jia Wang Technology Solder Product</t>
  </si>
  <si>
    <t>Jiangmen Huayuan Industry Co. Ltd</t>
  </si>
  <si>
    <t>Jiangsu Xinhai Copper Co.,Ltd.</t>
  </si>
  <si>
    <t>Jiangxi Jiawang</t>
  </si>
  <si>
    <t>Jiangxi Jinshunda Tin Co. Ltd.</t>
  </si>
  <si>
    <t>Jiangxi Tongye</t>
  </si>
  <si>
    <t>Jin Li Chang</t>
  </si>
  <si>
    <t>Jin Tian</t>
  </si>
  <si>
    <t>Jin Yi Group</t>
  </si>
  <si>
    <t>Jin Zhou</t>
  </si>
  <si>
    <t>Jinda Metal Co., Ltd.</t>
  </si>
  <si>
    <t>J-Tech</t>
  </si>
  <si>
    <t>Kai Union Industry And Trade Co., Ltd</t>
  </si>
  <si>
    <t>Kaimeng(Gejiu) Industry And Trade Co., Ltd.</t>
  </si>
  <si>
    <t>Zhadian Babaoshu Industrial Park</t>
  </si>
  <si>
    <t>Dingju</t>
  </si>
  <si>
    <t>Dingju5201@163.Com</t>
  </si>
  <si>
    <t>Eight Hold The Tree First Industrial Park</t>
  </si>
  <si>
    <t>China Old City Austin</t>
  </si>
  <si>
    <t>Yunnan And Non-Ferrous Metals Co., Ltd</t>
  </si>
  <si>
    <t>Gejiushi Yunnan Province  China</t>
  </si>
  <si>
    <t>Kewei Tin Co.,Ltd</t>
  </si>
  <si>
    <t>Kiyomine Metal Industry Co.,Ltd.</t>
  </si>
  <si>
    <t>Koki Products Co.,Ltd</t>
  </si>
  <si>
    <t>Ku Ping Enterprise Co., Ltd.</t>
  </si>
  <si>
    <t>Kuanshan China Ai Sen Self-Conductor Meterials Company</t>
  </si>
  <si>
    <t>Kunming High-Tech Industrial Developing Area</t>
  </si>
  <si>
    <t>Kunshan Concentric Surface Technology Co., Ltd</t>
  </si>
  <si>
    <t>Kunshan Into The Solder Manufacturing Co., Ltd</t>
  </si>
  <si>
    <t>Kunshan Shenghan</t>
  </si>
  <si>
    <t>Kunshan Shing Lee Solder Manufactureing Co.Ltd</t>
  </si>
  <si>
    <t>Kunshan Xin Ding Metal Material Limited Company</t>
  </si>
  <si>
    <t>Kunshan Xin Tongding Metal Materials Co., Ltd</t>
  </si>
  <si>
    <t>Miss Ling</t>
  </si>
  <si>
    <t>Kuntai</t>
  </si>
  <si>
    <t>Laibin China Tin Smelting Ltd.</t>
  </si>
  <si>
    <t>He'nan Industrial Park, Xing'bin District</t>
  </si>
  <si>
    <t>Lai'bin</t>
  </si>
  <si>
    <t>Guang' Xi</t>
  </si>
  <si>
    <t>Laibin Huaxi Smelter</t>
  </si>
  <si>
    <t>Laibin Smeltery Of Liuzhou China Tin Group Co.,Ltd</t>
  </si>
  <si>
    <t>Guangxi,China</t>
  </si>
  <si>
    <t>Langfang Bondtron Electronic Materials Co., Ltd.</t>
  </si>
  <si>
    <t>Lead-Free Solder Smelter</t>
  </si>
  <si>
    <t>Lee Cheong Gold</t>
  </si>
  <si>
    <t>Lee Established A Solder Manufacturing Co., Ltd. Kunshan</t>
  </si>
  <si>
    <t>Levitra Can, Shenzhen Electronic Technology Co., Ltd.</t>
  </si>
  <si>
    <t>Pribram Vi C.P. 530 261 81 Pribram Czech Rep</t>
  </si>
  <si>
    <t>Pribram</t>
  </si>
  <si>
    <t>Czech Rep</t>
  </si>
  <si>
    <t>Kovohute@Kovopb.Cz</t>
  </si>
  <si>
    <t>Lg International Corp</t>
  </si>
  <si>
    <t>Li Hong, Wuxi Electronic Materials Co.,Ltd</t>
  </si>
  <si>
    <t>Lichung Soldering Manufacturing Co.,Ltd</t>
  </si>
  <si>
    <t>Lingbao Jinyuan Tonghui</t>
  </si>
  <si>
    <t>(Samsung) - Wafer &amp; Assembly</t>
  </si>
  <si>
    <t>Liqiao Plating</t>
  </si>
  <si>
    <t>LMD</t>
  </si>
  <si>
    <t>Lushan</t>
  </si>
  <si>
    <t>Ma On Shuguang Smelting Plant</t>
  </si>
  <si>
    <t>Maanshan Dongshen Electronic Material Factory</t>
  </si>
  <si>
    <t>Mcp Hek Gmbh</t>
  </si>
  <si>
    <t>Meng Neng</t>
  </si>
  <si>
    <t>Metallic Materials Branchl Of Guangxi China Tin Group Co.,Ltd</t>
  </si>
  <si>
    <t>Mimmetal</t>
  </si>
  <si>
    <t>Kung Ming</t>
  </si>
  <si>
    <t>Minmetals Ganzhou Tin Co. Ltd.</t>
  </si>
  <si>
    <t>CID001179</t>
  </si>
  <si>
    <t>Minsur, Chengfeng Metals Co Pte Ltd</t>
  </si>
  <si>
    <t>Multiple Xin Precision Metal Electroplating Factory</t>
  </si>
  <si>
    <t>Baoan District Songgang Streets Wenlou Village Longtan Industrial Zone With The Mansion B Building 3 Floor</t>
  </si>
  <si>
    <t>Sunnyzhou</t>
  </si>
  <si>
    <t>Zhou20082011@126.Com</t>
  </si>
  <si>
    <t>Nancang Metal Material Co.,Ltd</t>
  </si>
  <si>
    <t>Taicang City</t>
  </si>
  <si>
    <t>Wan Wen Zhong</t>
  </si>
  <si>
    <t>－</t>
  </si>
  <si>
    <t>Gejiushi Datun Town In Yunnan Province</t>
  </si>
  <si>
    <t>Nanjing Damai Science Technology Industry Co.,Ltd</t>
  </si>
  <si>
    <t>Nanjing Xin Ying Technology Co,Ltd</t>
  </si>
  <si>
    <t>Jiangxi Minmetals Non-Ferrous Pioneer Metals Corporation Chun-Chang Non-Ferrous Smelting &amp; Concentrating Co.,Ltd.</t>
  </si>
  <si>
    <t>Nankang Industrial Zone, Jiangxi Province, China</t>
  </si>
  <si>
    <t>Huang Zongxi</t>
  </si>
  <si>
    <t>Tel: +86-7976574395</t>
  </si>
  <si>
    <t>Nanshan Tinning</t>
  </si>
  <si>
    <t>Nantong Chun Yuan Electronicsind Co., Ltd.</t>
  </si>
  <si>
    <t>New Mining Co., Ltd.</t>
  </si>
  <si>
    <t>Nghe Tin Non-Ferrous Metal</t>
  </si>
  <si>
    <t>Nihon Kagaku Sangyo Co., Ltd</t>
  </si>
  <si>
    <t>Nihon Superior Co.,Ltd</t>
  </si>
  <si>
    <t>Ningbo City Changzhen Copper Co.,Ltd</t>
  </si>
  <si>
    <t>Ningbo Jintian Copper (Group ) Company Limited</t>
  </si>
  <si>
    <t>Jiangbei Cicheng Town West Road.</t>
  </si>
  <si>
    <t>Ningbo</t>
  </si>
  <si>
    <t>Welkin Wang</t>
  </si>
  <si>
    <t>Welkin07@126.Com</t>
  </si>
  <si>
    <t>Ningbo Yinzhou Tin Bronze Bronze Belt Co.,Ltd</t>
  </si>
  <si>
    <t>Oki Copper And Brass Industry Co., Ltd.</t>
  </si>
  <si>
    <t>Old City Metals Processing Co., Ltd.</t>
  </si>
  <si>
    <t>Old Smelter</t>
  </si>
  <si>
    <t>Omg</t>
  </si>
  <si>
    <t>Pgma</t>
  </si>
  <si>
    <t>Primeyoung Metal (Zhuhai)Ind.Co.,Ltd</t>
  </si>
  <si>
    <t>Pro Wu Xianggui Mining Co., Ltd.</t>
  </si>
  <si>
    <t>From Avx, A Linear Technology Supplier</t>
  </si>
  <si>
    <t>Pt Citralogam</t>
  </si>
  <si>
    <t>Qiandao Co., Ltd.</t>
  </si>
  <si>
    <t>Qingdao Klong Nonferrous Metal Co.,Ltd</t>
  </si>
  <si>
    <t>Richemax International Co., Ltd.</t>
  </si>
  <si>
    <t>Rihin</t>
  </si>
  <si>
    <t>Rohm &amp; Haas</t>
  </si>
  <si>
    <t>Sanmenxia Hengsheng Science And Technology R&amp;D, Ltd., Co</t>
  </si>
  <si>
    <t>Seirenngyousya</t>
  </si>
  <si>
    <t>Senju Metal (Shanghai) Co.,Ltd.</t>
  </si>
  <si>
    <t>Shantou</t>
  </si>
  <si>
    <t>Miss Wu</t>
  </si>
  <si>
    <t>Shandong China Electronic Materials Co.,Ltd</t>
  </si>
  <si>
    <t>Shandong Zhaojin Gold &amp; Silver Refinery Co., Ltd</t>
  </si>
  <si>
    <t>Shanghai Baosteel Group Corporation</t>
  </si>
  <si>
    <t>Shanghai Hubao Coppe</t>
  </si>
  <si>
    <t>Shanghai Mitsuoka Electronics Co.,Ltd.</t>
  </si>
  <si>
    <t>Shanghai New Solar</t>
  </si>
  <si>
    <t>Shanghai Pu Zhao Trading Co., Ltd</t>
  </si>
  <si>
    <t>Shanghai Sigma Metals Inc.</t>
  </si>
  <si>
    <t>Shanghai Xinyang Semiconductor Materials Co., Ltd</t>
  </si>
  <si>
    <t>Shanghai Yue Qiang Metal Products Co.,Ltd</t>
  </si>
  <si>
    <t>Shangyou Xinmao Tin Co., Ltd.</t>
  </si>
  <si>
    <t>Ganzhou City, Jiangxi Province, Dongshan Shangyou</t>
  </si>
  <si>
    <t>Liao  Hai</t>
  </si>
  <si>
    <t>Xinmaoxiye@163.Com</t>
  </si>
  <si>
    <t>Shantou Xi Kuang</t>
  </si>
  <si>
    <t>Shao Xing Tian Long Tin Materials Co. Ltd.</t>
  </si>
  <si>
    <t>Huogudu, Jijie Twon</t>
  </si>
  <si>
    <t>Gejue City</t>
  </si>
  <si>
    <t>Honghe Zhou Yun Nan</t>
  </si>
  <si>
    <t>Lucy Qian</t>
  </si>
  <si>
    <t>Qianhaiyan@Tianlongspray.Com</t>
  </si>
  <si>
    <t>Shaoxing Tianlong Tin Materials</t>
  </si>
  <si>
    <t>Shen Mao Tin Products Co.,Ltd</t>
  </si>
  <si>
    <t>Shen Zhen Aijiafa Industry Co.,Ltd</t>
  </si>
  <si>
    <t>Shen Zhen Anchen Solder Products Co.,Ltd.</t>
  </si>
  <si>
    <t>Shen Zhen Qi Xiang Da Hua Gong Gong Si</t>
  </si>
  <si>
    <t>Shen Zhen Rui Yun Feng Industry Co.,Ltd</t>
  </si>
  <si>
    <t>Shenyang Rongshengyuan</t>
  </si>
  <si>
    <t>Shenzhen Aijiafa Industrial Co., Ltd.</t>
  </si>
  <si>
    <t>Shenzhen Anchen Soldering Tin Product Co., Ltd.</t>
  </si>
  <si>
    <t>Shenzhen Boshida Sodering Tin Induustrial Co,Ltd</t>
  </si>
  <si>
    <t>Shenzhen Chemicals &amp; Light Industry Co.,Ltd.</t>
  </si>
  <si>
    <t>Shenzhen City Thai Industrial Co., Ltd.</t>
  </si>
  <si>
    <t>Shenzhen Hongchang Metal Manufacturing Factory.</t>
  </si>
  <si>
    <t>Shenzhen Kamo Co.,Ltd</t>
  </si>
  <si>
    <t>Shenzhen Keaixin Technology</t>
  </si>
  <si>
    <t>Shenzhen City</t>
  </si>
  <si>
    <t>Shenzhen New Jin Spring Solder Products Co., Ltd</t>
  </si>
  <si>
    <t>Shenzhen Qi Xiang Da Hua Gong Gong Si</t>
  </si>
  <si>
    <t>Shenzhen Red Cloud Crown Tin Limited</t>
  </si>
  <si>
    <t>Shenzhen Yi Cheng Industrial</t>
  </si>
  <si>
    <t>Forward Road</t>
  </si>
  <si>
    <t>Xixiang Town</t>
  </si>
  <si>
    <t>Phone: 0755-27473328</t>
  </si>
  <si>
    <t>Shunda Huichang Kam Tin Co., Ltd.</t>
  </si>
  <si>
    <t>Http://Hcjsdxy.En.B2b168.Com/</t>
  </si>
  <si>
    <t>Sigma</t>
  </si>
  <si>
    <t>Singapore Lme Tin</t>
  </si>
  <si>
    <t>Snow Up To The City Of Suzhou Chemical Co.,Ltd.</t>
  </si>
  <si>
    <r>
      <t>Jiangsu</t>
    </r>
    <r>
      <rPr>
        <sz val="11"/>
        <color rgb="FF000000"/>
        <rFont val="MS Gothic"/>
        <family val="3"/>
      </rPr>
      <t>江蘇</t>
    </r>
  </si>
  <si>
    <r>
      <t xml:space="preserve">China </t>
    </r>
    <r>
      <rPr>
        <sz val="11"/>
        <color rgb="FF000000"/>
        <rFont val="MS Gothic"/>
        <family val="3"/>
      </rPr>
      <t>中國</t>
    </r>
  </si>
  <si>
    <t>Snow Up To The City Of Suzhou Chemical Co., Ltd</t>
  </si>
  <si>
    <t>Soft Metais</t>
  </si>
  <si>
    <t>Solder-Mic</t>
  </si>
  <si>
    <t>Songwon</t>
  </si>
  <si>
    <t>Southwest China Dandong Fcofco Property Group Maps Glossary Tells</t>
  </si>
  <si>
    <t>SPTE</t>
  </si>
  <si>
    <t>Stretti</t>
  </si>
  <si>
    <t>Sun Surface Technology Co Ltd</t>
  </si>
  <si>
    <t>Suzhou Chemical Co., Ltd.</t>
  </si>
  <si>
    <t>Suzhou Feixiang Solder Materials Co., Ltd.</t>
  </si>
  <si>
    <t>Chiyoda-Ku</t>
  </si>
  <si>
    <t>Suzhou Jinyi Jewelry Factory</t>
  </si>
  <si>
    <t>Suzhou Nuonengda Chemical Co.,Ltd</t>
  </si>
  <si>
    <t>Suzhou Roiwow Recycle Technology Company Ltd</t>
  </si>
  <si>
    <t>Tae Seung</t>
  </si>
  <si>
    <t>Tai Nian Gao Keji Gufen Youxian Gongsi</t>
  </si>
  <si>
    <t>Taicang City Nancang Metal Material Co., Ltd</t>
  </si>
  <si>
    <t>Taiwan Qing Gao Qi Ye You Xian Gong Si</t>
  </si>
  <si>
    <t>Talan Village Nanjiao</t>
  </si>
  <si>
    <t>Talkangcity</t>
  </si>
  <si>
    <t>TCC Steel</t>
  </si>
  <si>
    <t>The Force Bridge Surface Treatment Material Factory</t>
  </si>
  <si>
    <t>The Gejiu Cloud New Colored Electrolytic</t>
  </si>
  <si>
    <t>The Heracles Las (China) Co., Ltd.</t>
  </si>
  <si>
    <t>The Nankang Nanshan Tin Co., Ltd.</t>
  </si>
  <si>
    <t>Thousand Island Metal Foil Co., Ltd.</t>
  </si>
  <si>
    <t>Three Green Surface Technology Limited Company</t>
  </si>
  <si>
    <t>Tiancheng Metal Materials Co., Ltd.</t>
  </si>
  <si>
    <t>Tianjin Huamei</t>
  </si>
  <si>
    <t>Tianjin Rui Jian Electronics Co., Ltd.</t>
  </si>
  <si>
    <t>Tianjin Yishang Chemical Trade Co.,Ltd</t>
  </si>
  <si>
    <t>Tianshui Ling Bo Technology Co., Ltd</t>
  </si>
  <si>
    <t>Tim Plating Gejiu</t>
  </si>
  <si>
    <t>Tin Group Co.,Ltd</t>
  </si>
  <si>
    <t>Tin Products Co. Ltd.</t>
  </si>
  <si>
    <t>Tin Products Manufacturing Co. Ltd.</t>
  </si>
  <si>
    <t>Tin Xicai Co., Ltd.,</t>
  </si>
  <si>
    <t>Tong Ding Metal Materials Co., Ltd.</t>
  </si>
  <si>
    <t>Top-Team Technology(Shen Zhen)Limited</t>
  </si>
  <si>
    <t>Tunnan Tin Group</t>
  </si>
  <si>
    <t>Ubs Metalor</t>
  </si>
  <si>
    <t>Ufo Co., Ltd. Guangxi Ping Gui</t>
  </si>
  <si>
    <t>Umicore Precious Metal (S) Pte. Ltd.</t>
  </si>
  <si>
    <t>Uncertain Or Not Disclosed</t>
  </si>
  <si>
    <t>Uni Bros Metal Pte Ltd</t>
  </si>
  <si>
    <t>567 Jin Feng Road, National High-Tech Development Zone</t>
  </si>
  <si>
    <t>Suzhou</t>
  </si>
  <si>
    <t>Vishay Intertechnology</t>
  </si>
  <si>
    <t>Wang Yu Manufacturing Co. Ltd.</t>
  </si>
  <si>
    <t>Wen Cheng Co., Ltd.</t>
  </si>
  <si>
    <t>Win Tin Co., Ltd. Yongkang Hiroshima</t>
  </si>
  <si>
    <t>Wind Yunnan Nonferrous Metals Co., Ltd.</t>
  </si>
  <si>
    <t>Du Hongwu</t>
  </si>
  <si>
    <t>Yndhw@163.Com</t>
  </si>
  <si>
    <t>Wkk Ems Equipment(Shenzhen) Ltd.</t>
  </si>
  <si>
    <t>Wu Xi Yun Xi</t>
  </si>
  <si>
    <t>Wuhu Zhongyuan Metal Sheet And Foil Co.,Ltd</t>
  </si>
  <si>
    <t>Wujiang City Luxe Tin Factory</t>
  </si>
  <si>
    <t>Wuxi Lantronic Electronic Co Ltd</t>
  </si>
  <si>
    <t>Wuxi Yunxi Sanye Solder Factory</t>
  </si>
  <si>
    <t>Wynn Xin</t>
  </si>
  <si>
    <t>Xi Hai Liuzhou China Tin Group Cot Ltd</t>
  </si>
  <si>
    <t>Xia Yi Metal Industries (Shares) Ltd.</t>
  </si>
  <si>
    <t>Xiamen Honglu Tungsten Molybdenum Industry Co.,Ltd</t>
  </si>
  <si>
    <t>Xianggui Smelter Co</t>
  </si>
  <si>
    <t>Request Supply Chain To Encourage Smelter Facility To Be Assessed Through The Cfsp.</t>
  </si>
  <si>
    <t>Xianghualing Tin Industry Co., Ltd.</t>
  </si>
  <si>
    <t>Xihai - Liuzhou China Tin Group Co Ltd - List As "China Tin"</t>
  </si>
  <si>
    <t>Awaiting EICC Certification Process For Sn</t>
  </si>
  <si>
    <t>Xihai-Liuxhou China Tin Group Co Ltd</t>
  </si>
  <si>
    <t>Xin Furukawa Metal ( Wuxi ) Co., Ltd.</t>
  </si>
  <si>
    <t>Xingrui Noble Metal Material Co Ltd</t>
  </si>
  <si>
    <t>Xingyang Electroncs Co.,Led.</t>
  </si>
  <si>
    <t>Xingye Copper International Group Limited</t>
  </si>
  <si>
    <t>Xinjian Mining Corporation</t>
  </si>
  <si>
    <t>Xinke Precision Copper Strip Co., Ltd.</t>
  </si>
  <si>
    <t>Xinmao Tin Corp .,Ltd</t>
  </si>
  <si>
    <t>Yannan Tin Group(Holding)Co.,Ltd</t>
  </si>
  <si>
    <t>Yantai Zhaojin Kanfort Precious Metals Co., Ltd.</t>
  </si>
  <si>
    <t>Yao Zhang Enterprise Co., Ltd.</t>
  </si>
  <si>
    <t>Ye Chiu Metal Recycling (China) Ltd.</t>
  </si>
  <si>
    <t>Yifeng Tin Industry (Chenzhou) Co Ltd</t>
  </si>
  <si>
    <t>Block A,Minmetals Building,No.5, Sanlihe Road,Haidian District</t>
  </si>
  <si>
    <t>Mr Sang</t>
  </si>
  <si>
    <t>Sangw@Minmetals.Com</t>
  </si>
  <si>
    <t>Yik Shing Tat Industrial Co.,Ltd</t>
  </si>
  <si>
    <t>Yiquan Manufacturing</t>
  </si>
  <si>
    <t>Yixing Chemical Reagent Company</t>
  </si>
  <si>
    <t>Yokohama Metal Co Ltd</t>
  </si>
  <si>
    <t>You Nai Tong Cai(Suzhou)Youxian Gongsi</t>
  </si>
  <si>
    <r>
      <t>銅合金線材</t>
    </r>
    <r>
      <rPr>
        <sz val="11"/>
        <color rgb="FF000000"/>
        <rFont val="宋体"/>
        <family val="2"/>
        <scheme val="minor"/>
      </rPr>
      <t>/Smelter List9/</t>
    </r>
    <r>
      <rPr>
        <sz val="11"/>
        <color rgb="FF000000"/>
        <rFont val="MS Gothic"/>
        <family val="3"/>
      </rPr>
      <t>㈱ﾏﾂﾀﾞ⇒サンエツ金属㈱</t>
    </r>
  </si>
  <si>
    <t>Li Wen Chao</t>
  </si>
  <si>
    <t>Yuan Ye Electronics(Shen Zhen)Co.,Ltd</t>
  </si>
  <si>
    <t>Yuanhao</t>
  </si>
  <si>
    <t>Yucheng</t>
  </si>
  <si>
    <t>Yun Lan Xi Ye</t>
  </si>
  <si>
    <t>Yun Nan Tin Co., Ltd</t>
  </si>
  <si>
    <t>Yun Nan Xi Ye Gufen Youxian Gongsi</t>
  </si>
  <si>
    <t>Yun Xi</t>
  </si>
  <si>
    <t>Yunan Chengfeng Nonferrous Metals Co.,Ltd</t>
  </si>
  <si>
    <t>Yun'an Dian'xi Tin Mine</t>
  </si>
  <si>
    <t>No. 121</t>
  </si>
  <si>
    <t>An'ning</t>
  </si>
  <si>
    <t>Yun Nan</t>
  </si>
  <si>
    <t>Yunan Tin Products Manufacturing Co.,Ltd.Of Ytcl</t>
  </si>
  <si>
    <t>Yunanxiye</t>
  </si>
  <si>
    <t>Yunna Thin Company Group Limited</t>
  </si>
  <si>
    <t>Yunnan Dianxi Tin Mine</t>
  </si>
  <si>
    <t>Yunnan Gejiu Jin Ye Mineral Co.,Ltd</t>
  </si>
  <si>
    <t>Yunnan Gejiu Yunxin Electrolyze Limited</t>
  </si>
  <si>
    <t>Yunnan Industrial Co., Ltd.</t>
  </si>
  <si>
    <t>Yunnan Metallurgical Group Co.,Ltd</t>
  </si>
  <si>
    <t>Yunnan Tin Co., Ltd. Smelting Branch</t>
  </si>
  <si>
    <t>Yunan Provence</t>
  </si>
  <si>
    <t>Yunnan Tin Mine</t>
  </si>
  <si>
    <t>Yunnan Tin Group Co., Ltd.</t>
  </si>
  <si>
    <t>Mr Rao</t>
  </si>
  <si>
    <t>Tel:0873-3116262</t>
  </si>
  <si>
    <t>Yunnan Tin Industry Limited By Share Ltd</t>
  </si>
  <si>
    <t>Yunnan Tin Smelting Co.Ltd</t>
  </si>
  <si>
    <t>Golden Lake East Road No.121</t>
  </si>
  <si>
    <t>Huang's</t>
  </si>
  <si>
    <t>Csnqd@163.Com</t>
  </si>
  <si>
    <t>Yunnan Travel Wind Non-Ferrous Metal Shares Limited</t>
  </si>
  <si>
    <t>Yunnan Wenshan-Malipo Strike-Slip Baiyi Mining Co., Ltd</t>
  </si>
  <si>
    <t>Yunnan Xi Ye Gufen Youxian Gongsi</t>
  </si>
  <si>
    <t>Gao Xin Jishu Chanye Kaifaqu</t>
  </si>
  <si>
    <t>Kun Mjng</t>
  </si>
  <si>
    <t>Yun Nan Sheng</t>
  </si>
  <si>
    <t>Wang S</t>
  </si>
  <si>
    <t>Yunnan Xiangyunfeilong Non-Ferrous Metals Co.Ltd.</t>
  </si>
  <si>
    <t>Yunnan Xiye Co.Ltd</t>
  </si>
  <si>
    <t>Yunnan Yun Shares Of Copper-Zinc Industry Limited</t>
  </si>
  <si>
    <t>Yunnan, China Rare Metal Materials Company</t>
  </si>
  <si>
    <t>Hui Zhou</t>
  </si>
  <si>
    <t>Yuntinic Resources Inc.</t>
  </si>
  <si>
    <t>Yunxin Colored Electrolysis Company Limited</t>
  </si>
  <si>
    <t>Mr. Li Wen Chao</t>
  </si>
  <si>
    <t>8610-67586490</t>
  </si>
  <si>
    <t>Yutinic Reousrces</t>
  </si>
  <si>
    <t>Zhangzhou Macro Real Non-Ferrous Metals</t>
  </si>
  <si>
    <t>No. 686 Shengli Road</t>
  </si>
  <si>
    <t>Zhangzhou</t>
  </si>
  <si>
    <t>Zhaojin Gold And Silver Refinery Limited</t>
  </si>
  <si>
    <t>Zhejiang Asia-Welding Ltd.</t>
  </si>
  <si>
    <t>Zhejiang Huangyan Chemical Co., Ltd</t>
  </si>
  <si>
    <t>Zhejiang Keyu Metal Material Co.,Ltd</t>
  </si>
  <si>
    <t>Zhejiang Strong Solder Materials</t>
  </si>
  <si>
    <t>Zhenxiong Copper Group Co., Ltd</t>
  </si>
  <si>
    <t>Zhihai Horyizon Solder</t>
  </si>
  <si>
    <r>
      <t>林益</t>
    </r>
    <r>
      <rPr>
        <sz val="11"/>
        <color rgb="FF000000"/>
        <rFont val="宋体"/>
        <family val="2"/>
        <scheme val="minor"/>
      </rPr>
      <t>?</t>
    </r>
  </si>
  <si>
    <t>Hys@Horyison.Com</t>
  </si>
  <si>
    <t>Zhongfahao Wujin Zhipin Youxian Gongsi</t>
  </si>
  <si>
    <t>Zhongguo Guang Nan Dai Xi Jituan</t>
  </si>
  <si>
    <t>High-Tech Industrial Development Zone</t>
  </si>
  <si>
    <t>Liujcouh</t>
  </si>
  <si>
    <r>
      <t>めっき</t>
    </r>
    <r>
      <rPr>
        <sz val="11"/>
        <color rgb="FF000000"/>
        <rFont val="宋体"/>
        <family val="2"/>
        <scheme val="minor"/>
      </rPr>
      <t>(</t>
    </r>
    <r>
      <rPr>
        <sz val="11"/>
        <color rgb="FF000000"/>
        <rFont val="MS Gothic"/>
        <family val="3"/>
      </rPr>
      <t>後</t>
    </r>
    <r>
      <rPr>
        <sz val="11"/>
        <color rgb="FF000000"/>
        <rFont val="宋体"/>
        <family val="2"/>
        <scheme val="minor"/>
      </rPr>
      <t>)/Smelter List_5/Ant</t>
    </r>
  </si>
  <si>
    <t>Zhongshan Tin-King Co., Ltd.</t>
  </si>
  <si>
    <r>
      <t>彭代生（</t>
    </r>
    <r>
      <rPr>
        <sz val="11"/>
        <color rgb="FF000000"/>
        <rFont val="MingLiU"/>
        <family val="3"/>
      </rPr>
      <t>销售经理</t>
    </r>
    <r>
      <rPr>
        <sz val="11"/>
        <color rgb="FF000000"/>
        <rFont val="MS Gothic"/>
        <family val="3"/>
      </rPr>
      <t>）</t>
    </r>
  </si>
  <si>
    <t>Tinking@Vip.163.Com</t>
  </si>
  <si>
    <t>Zhongshi</t>
  </si>
  <si>
    <r>
      <t>Longyan Industrial Area</t>
    </r>
    <r>
      <rPr>
        <sz val="11"/>
        <color rgb="FF000000"/>
        <rFont val="MS Gothic"/>
        <family val="3"/>
      </rPr>
      <t>，</t>
    </r>
    <r>
      <rPr>
        <sz val="11"/>
        <color rgb="FF000000"/>
        <rFont val="宋体"/>
        <family val="2"/>
        <scheme val="minor"/>
      </rPr>
      <t>Humen Town</t>
    </r>
  </si>
  <si>
    <t>Zhuhai Co., Ltd. Hai Yuxin Xi</t>
  </si>
  <si>
    <t>Zhuhai Co., Ltd. Seapower</t>
  </si>
  <si>
    <t>Zhuhai Hongsheng  Stannous Solder Manufacture Co,.Ltd</t>
  </si>
  <si>
    <t>Zhuhai</t>
  </si>
  <si>
    <t>Chen Chubin</t>
  </si>
  <si>
    <t>Hongshenghx@163.Com</t>
  </si>
  <si>
    <t>Zhuhai Quanjia</t>
  </si>
  <si>
    <t>Zhuzhou Cemented Carbide Group Co Ltd</t>
  </si>
  <si>
    <t>Zhuzhou Smelter Group Co., Ltd.</t>
  </si>
  <si>
    <t>Zi Jin Copper</t>
  </si>
  <si>
    <t>Zu Hai Haiyuxin Tin Products Co., Ltd.</t>
  </si>
  <si>
    <t>Http://Www.Anson.Solder.Com/</t>
  </si>
  <si>
    <t>Zuhai Horyison Solder Co.,Ltd.</t>
  </si>
  <si>
    <t>Constellium Extrusions Decin S.R.O.</t>
  </si>
  <si>
    <t>Ing.Josef Kořínek</t>
  </si>
  <si>
    <t>Kovohute Pribram Nastupnicka, A.S.</t>
  </si>
  <si>
    <t>Laybold</t>
  </si>
  <si>
    <t>Mineral-Metal S.R.O.</t>
  </si>
  <si>
    <t>Moravia Steel A.S.</t>
  </si>
  <si>
    <t>Prumyslova 1000</t>
  </si>
  <si>
    <t>Trinec</t>
  </si>
  <si>
    <t>Info@Moravia-Steel.Cz</t>
  </si>
  <si>
    <t>Vitkovicke Slevarny</t>
  </si>
  <si>
    <t>Galva Metal</t>
  </si>
  <si>
    <t>Afica</t>
  </si>
  <si>
    <t>Alltech Metal</t>
  </si>
  <si>
    <t>Ampere</t>
  </si>
  <si>
    <t>Arcelor La Plaine</t>
  </si>
  <si>
    <t>5 Rue Luigi Cherubini</t>
  </si>
  <si>
    <t>F 93212 La Plaine Saint Denis Cedex</t>
  </si>
  <si>
    <t>Castolin</t>
  </si>
  <si>
    <t>Heraeus</t>
  </si>
  <si>
    <t>Heraus</t>
  </si>
  <si>
    <t>Ips</t>
  </si>
  <si>
    <t>Kme France</t>
  </si>
  <si>
    <t>Mbo</t>
  </si>
  <si>
    <t>Metaconcept France</t>
  </si>
  <si>
    <t>Pbt</t>
  </si>
  <si>
    <t>Possehl</t>
  </si>
  <si>
    <t>Reynolds</t>
  </si>
  <si>
    <t>Sorimetal</t>
  </si>
  <si>
    <t>Traxys</t>
  </si>
  <si>
    <t>49, Avenue Hoche 75008</t>
  </si>
  <si>
    <t>Paris</t>
  </si>
  <si>
    <t>Include Scrap</t>
  </si>
  <si>
    <t>5n Plus Lübeck Gmbh</t>
  </si>
  <si>
    <t>Kaninchenborn 24-28, Lübeck, Germany</t>
  </si>
  <si>
    <t>A.M.P.E.R.E. Deutsch</t>
  </si>
  <si>
    <t>Allgemeine Gold- Und Silberscheideanstalt</t>
  </si>
  <si>
    <t>Ampere Polska Sp. Z O.O. (Trader)</t>
  </si>
  <si>
    <t>Arcelormittal Hamburg Gmbh</t>
  </si>
  <si>
    <t>Dradenaustraße 33</t>
  </si>
  <si>
    <t>Atotech Deutschland</t>
  </si>
  <si>
    <t>Vachiravit</t>
  </si>
  <si>
    <t>Vachiravit.Noibuangam@Atotech.Com</t>
  </si>
  <si>
    <t>Hovestraße 50</t>
  </si>
  <si>
    <t>20539 Hamburg</t>
  </si>
  <si>
    <t>Kirsten Kück</t>
  </si>
  <si>
    <t>K.Kueck@Aurubis.Com; Info@Aurubis.Com</t>
  </si>
  <si>
    <t>Aurubis Ag</t>
  </si>
  <si>
    <t>Hove Str. 50</t>
  </si>
  <si>
    <t>D-20539 Hamburg</t>
  </si>
  <si>
    <t>Germany / Stollberg</t>
  </si>
  <si>
    <t>Dr. Artelt</t>
  </si>
  <si>
    <t>H.Artelt@Aurubis.Com</t>
  </si>
  <si>
    <t>Balver Zinn Gmbh &amp; Co.Kg</t>
  </si>
  <si>
    <t>Blintroper Weg 11</t>
  </si>
  <si>
    <t>58802 Balve</t>
  </si>
  <si>
    <t>Bilstein Service Gmbh</t>
  </si>
  <si>
    <t>Im Weinhof</t>
  </si>
  <si>
    <t>Hagen</t>
  </si>
  <si>
    <t>Mr. Wolfgang Klein</t>
  </si>
  <si>
    <t>Wolfgang.Klein@Bilstein-Kaltband.De</t>
  </si>
  <si>
    <t>Bnt Chemicals Gmbh</t>
  </si>
  <si>
    <t>Brautmeier Gmbh</t>
  </si>
  <si>
    <t>C.D. Wälzholz Kg</t>
  </si>
  <si>
    <t>Feldmühlenstr. 55</t>
  </si>
  <si>
    <t>Mr. Reimann</t>
  </si>
  <si>
    <t>Info@Cdw.De</t>
  </si>
  <si>
    <t>Chen Jung Metal</t>
  </si>
  <si>
    <t>Diehl Metall Aplications Gmbh</t>
  </si>
  <si>
    <t>Am Stichkanal 6-8</t>
  </si>
  <si>
    <t>D-14167 Berlin</t>
  </si>
  <si>
    <t>Germany / Sundvig</t>
  </si>
  <si>
    <t>Mr. Pitschmann</t>
  </si>
  <si>
    <t>Daniel.Pitschmann@Diehl.Com</t>
  </si>
  <si>
    <t>Reported By Suppliers Who Provide Substrate, Component, Lid</t>
  </si>
  <si>
    <t>Dr.-Ing. Max Schloetter Gmbh &amp; Co. Kg</t>
  </si>
  <si>
    <t>Talgraben 30</t>
  </si>
  <si>
    <t>Geisingen/Steige</t>
  </si>
  <si>
    <t>D-73312</t>
  </si>
  <si>
    <t>Cfs Program Certified (Compliant)</t>
  </si>
  <si>
    <t>Elsold</t>
  </si>
  <si>
    <t>Extol</t>
  </si>
  <si>
    <t>Galva-Metall Gmbh</t>
  </si>
  <si>
    <t>Reported By Suppliers Who Provide Substrate, Leadframe, Lid, Component</t>
  </si>
  <si>
    <t>Gebr. Kemper Gmbh &amp; Co.Kg</t>
  </si>
  <si>
    <t>Postfach 1520</t>
  </si>
  <si>
    <t>D-57445 Olpe</t>
  </si>
  <si>
    <t>Germany / Olpe</t>
  </si>
  <si>
    <t>Mr. Ramm</t>
  </si>
  <si>
    <t>Florian.Ramm@Kemper-Olpe.De</t>
  </si>
  <si>
    <t>Gebrueder Kemper Gmbh</t>
  </si>
  <si>
    <t>Hartorken Strasse</t>
  </si>
  <si>
    <t>Olpe</t>
  </si>
  <si>
    <t>Hubertus Bieker</t>
  </si>
  <si>
    <t>Gomat-E-K.</t>
  </si>
  <si>
    <t>Grillo Handel</t>
  </si>
  <si>
    <t>EICC Registration</t>
  </si>
  <si>
    <t>Hc Stark</t>
  </si>
  <si>
    <t>Zhang Jing</t>
  </si>
  <si>
    <t>Gina.Zhang@Heraeus.Com</t>
  </si>
  <si>
    <t>Mundt Maria</t>
  </si>
  <si>
    <t>Maria.Mundt@Heraeus.Com</t>
  </si>
  <si>
    <t>Heraues Material Technology Gmbh&amp;Co.Kg</t>
  </si>
  <si>
    <t>Highjent Technology</t>
  </si>
  <si>
    <t>Hijos De Juan De Garay</t>
  </si>
  <si>
    <t>I-Tscl</t>
  </si>
  <si>
    <t>Kiesow Dr. Brinkmann</t>
  </si>
  <si>
    <t>Kme Brass Germany Gmbh</t>
  </si>
  <si>
    <t>Listed On The CFSI Standard Smelter List (Currently Progressing Toward Certification)</t>
  </si>
  <si>
    <t>Koepp Schaum Gmbh</t>
  </si>
  <si>
    <t>M Smelter</t>
  </si>
  <si>
    <t>Macdermid Gmbh</t>
  </si>
  <si>
    <t>Monette</t>
  </si>
  <si>
    <t>Neuhaus</t>
  </si>
  <si>
    <t>Richard Stenzhorn Gmbh</t>
  </si>
  <si>
    <t>Risse + Wilke Kaltband Gmbh &amp; Co.Kg</t>
  </si>
  <si>
    <t>Stenglingser Weg 46</t>
  </si>
  <si>
    <t>Iserlohn</t>
  </si>
  <si>
    <t>Mr. Brajkovic</t>
  </si>
  <si>
    <t>M.Brajkovic@Risse-Wilke.De</t>
  </si>
  <si>
    <t>Rohm &amp; Haas R&amp;H Europe Trading Ap</t>
  </si>
  <si>
    <t>Am Kronberger Hang</t>
  </si>
  <si>
    <t>Schwalbach</t>
  </si>
  <si>
    <t>Hr. Kronberger</t>
  </si>
  <si>
    <t>Ekronberger@Dow.Com</t>
  </si>
  <si>
    <t>Saarstahl Ag</t>
  </si>
  <si>
    <t>Bismarckstraße 57-59</t>
  </si>
  <si>
    <t>Völklingen</t>
  </si>
  <si>
    <t>Saarland</t>
  </si>
  <si>
    <t>Saarstahl@Saarstahl.Com</t>
  </si>
  <si>
    <t>Salzgitter</t>
  </si>
  <si>
    <t>Samtec</t>
  </si>
  <si>
    <t>Schlötter Gmbh &amp; Co. Kg</t>
  </si>
  <si>
    <t>Sevotrans</t>
  </si>
  <si>
    <t>Sn Plus</t>
  </si>
  <si>
    <t>Stannol</t>
  </si>
  <si>
    <t>Süddeutsche Metallhandels-Gesellschaft Mbh</t>
  </si>
  <si>
    <t>Sundwigger Messingwerk</t>
  </si>
  <si>
    <t>Johannes Leipertz</t>
  </si>
  <si>
    <t>Hemer-Sundwig</t>
  </si>
  <si>
    <t>Thyssenkrupp</t>
  </si>
  <si>
    <t>11, 3rd Street, Fuyuan Road, Wujin Development Zone</t>
  </si>
  <si>
    <t>Tianjin</t>
  </si>
  <si>
    <t>Mr. Gu Qichun</t>
  </si>
  <si>
    <t>Guqichu@163.Com</t>
  </si>
  <si>
    <t>Tib Chemicals Ag</t>
  </si>
  <si>
    <t>Mühlheimer Strasse</t>
  </si>
  <si>
    <t>Mannheim</t>
  </si>
  <si>
    <t>Wc Heraeus Hanau</t>
  </si>
  <si>
    <t>Wc Heraeus Gmbh Heraeusstrasse 12 To 14</t>
  </si>
  <si>
    <t>Hanau/Germany</t>
  </si>
  <si>
    <t>Westfalenzinn J. Josh Kg</t>
  </si>
  <si>
    <t>59846 Sundern</t>
  </si>
  <si>
    <t>Westfalen</t>
  </si>
  <si>
    <t>Westmetall Gmbh &amp; Co. Kg</t>
  </si>
  <si>
    <t>Hunsrückstraße 3</t>
  </si>
  <si>
    <t>42289 Wuppertal</t>
  </si>
  <si>
    <t>Http://Www.Westmetall.Com/</t>
  </si>
  <si>
    <t>Wieland-Werke Ag</t>
  </si>
  <si>
    <t>Graf-Arco-Str. 36</t>
  </si>
  <si>
    <t>D-89079 Ulm</t>
  </si>
  <si>
    <t>Germany / Vöhringen</t>
  </si>
  <si>
    <t>Mr. Renz</t>
  </si>
  <si>
    <t>Alois.Renz@Wieland.De</t>
  </si>
  <si>
    <t>Wilhelm Grillo Handelsgesellschaft Gmbh</t>
  </si>
  <si>
    <t>Http://Www.Grillohandel.De/</t>
  </si>
  <si>
    <t>Wilhelm Westmetall</t>
  </si>
  <si>
    <t>Winter Metalle Gmbh</t>
  </si>
  <si>
    <t>Xiamen Hongfa</t>
  </si>
  <si>
    <t>Wait For Smelter To Be Added To EICC-Gesi Cfs List.</t>
  </si>
  <si>
    <t>China Tin Metal Materials In Guangxi Branch</t>
  </si>
  <si>
    <t>Fanling N.T.</t>
  </si>
  <si>
    <t>???(Marc)</t>
  </si>
  <si>
    <t>Fox.Gs@Foxconn.Com</t>
  </si>
  <si>
    <t>B T Solders Pvt Ltd</t>
  </si>
  <si>
    <t>Chemtreat Consultant</t>
  </si>
  <si>
    <t>Kester Inc</t>
  </si>
  <si>
    <t>M/S.Sarvottam Enterprises</t>
  </si>
  <si>
    <t>B 107,Nehru Ground</t>
  </si>
  <si>
    <t>Faridabad</t>
  </si>
  <si>
    <t>Haryanna</t>
  </si>
  <si>
    <t>Mr.Amit</t>
  </si>
  <si>
    <t>Plating</t>
  </si>
  <si>
    <t>Manaas Meyerlargical</t>
  </si>
  <si>
    <t>Amalgamated Metal Corporation Plc</t>
  </si>
  <si>
    <t>Bangka Tin,Mentok,Pt Timah (Persero) Tbk</t>
  </si>
  <si>
    <t>Bonoka.Beliting Indonesia</t>
  </si>
  <si>
    <t>Abrun Abubakar</t>
  </si>
  <si>
    <t>Tham@Pumah.Co.Jd</t>
  </si>
  <si>
    <t>Bukit Timah</t>
  </si>
  <si>
    <t>Capxon(Hongyuan)</t>
  </si>
  <si>
    <t>Chainbow</t>
  </si>
  <si>
    <t>Come Fm Timah</t>
  </si>
  <si>
    <t>Cv Ds Jaya Abadi</t>
  </si>
  <si>
    <t>Jl. Ketapang Kawasan Industri,</t>
  </si>
  <si>
    <t>Pangkalpinang,</t>
  </si>
  <si>
    <t>Mr. Hardi Salim</t>
  </si>
  <si>
    <t>Aheuwnee@Gmail.Com</t>
  </si>
  <si>
    <t>Cv Duta Putra Bangka</t>
  </si>
  <si>
    <t>Cv Makmur Jaya</t>
  </si>
  <si>
    <t>CID000308</t>
  </si>
  <si>
    <t>Cv Prima Timah Utama</t>
  </si>
  <si>
    <t>Ds</t>
  </si>
  <si>
    <t>Dyfenco Green Applied Material Co., Ltd</t>
  </si>
  <si>
    <t>Imli (Pt Bukit Timah)</t>
  </si>
  <si>
    <t>Ji. Gardu Induk Pln No.5</t>
  </si>
  <si>
    <t>Margomulyo, Tandes Lor, Kecamatan Tandes</t>
  </si>
  <si>
    <t>Surabaya 60187, Indonesia</t>
  </si>
  <si>
    <t>Mr.Welly Jusuf</t>
  </si>
  <si>
    <t>Wellyjs@Gmail.Com</t>
  </si>
  <si>
    <t>On Cfsp Active List, November 29, 2014</t>
  </si>
  <si>
    <t>Pangkalpina</t>
  </si>
  <si>
    <t>33121bangka Indonesia</t>
  </si>
  <si>
    <t>―</t>
  </si>
  <si>
    <t>Smelter List_5/Plating Material/Toshin Industry -&gt; Nippon Filler Metals</t>
  </si>
  <si>
    <t>Indra Eramulti Logam,Imli</t>
  </si>
  <si>
    <t>Ketapang Kawasan Industri</t>
  </si>
  <si>
    <t>Mr. Welly Jusuf</t>
  </si>
  <si>
    <t>Wellyjs@Gmail.Com / Punai08@Yahoo.Com</t>
  </si>
  <si>
    <t>Pt.Bbts</t>
  </si>
  <si>
    <t>Kihong T&amp;G</t>
  </si>
  <si>
    <t>Dinas Koperasi Usaha Mikro,Kecil Dan Menengam,Dan Perdagangan Provinsi Dki Jakarta Jl. Perintis Kemeroekaan / Jl. Bgr No.3 Jakarta 14240 Indonesia</t>
  </si>
  <si>
    <t>Jl. Bgr No.3 Jakarta</t>
  </si>
  <si>
    <t>Kundur Ll Indonesia</t>
  </si>
  <si>
    <t>Baka</t>
  </si>
  <si>
    <t>Chief Chemist</t>
  </si>
  <si>
    <t>Metari</t>
  </si>
  <si>
    <t>Mitsubishi Corporation Rtm Japan Ltd.</t>
  </si>
  <si>
    <t>Montok Smelter</t>
  </si>
  <si>
    <t>Nentiok</t>
  </si>
  <si>
    <t>Ney Metals And Alloys</t>
  </si>
  <si>
    <t>Nghe Tin Non-Ferrous Metal Company</t>
  </si>
  <si>
    <t>Nippon Filler Metals Ltd</t>
  </si>
  <si>
    <t>Nitah</t>
  </si>
  <si>
    <t>Nucor Steel</t>
  </si>
  <si>
    <t>Operaciones Metalugicas Sa.</t>
  </si>
  <si>
    <t>P.T. Tambang Timah</t>
  </si>
  <si>
    <t>Pan Light Corp</t>
  </si>
  <si>
    <t>Pl Timah Tbk</t>
  </si>
  <si>
    <t>Pt Babel Surya Alam Lestari</t>
  </si>
  <si>
    <t>CID001406</t>
  </si>
  <si>
    <t>Pt Billi Tin Makmur Lestari</t>
  </si>
  <si>
    <t>Pt Boukit Timah</t>
  </si>
  <si>
    <t>Pt Citralcogam</t>
  </si>
  <si>
    <t>Pt Citralogam Alphasejahtera</t>
  </si>
  <si>
    <t>Pt Donna Kembara Jaya</t>
  </si>
  <si>
    <t>Pt Ds Java Abada</t>
  </si>
  <si>
    <t>Pt Hanjaya Perkasa Metals</t>
  </si>
  <si>
    <t>CID002287</t>
  </si>
  <si>
    <t>CID001445</t>
  </si>
  <si>
    <t>Ngoro Industri Persada M-1, Ngoro</t>
  </si>
  <si>
    <t>Mojokerto</t>
  </si>
  <si>
    <t>Propinsi Jawa Timur</t>
  </si>
  <si>
    <t>Mr. Herman Setiawan</t>
  </si>
  <si>
    <t>Tandes Lor    Surabaya</t>
  </si>
  <si>
    <t>Pt Indra Eramulti Logam Industri, Indonesia</t>
  </si>
  <si>
    <t>Gardu Induk Pln 5, Margomulyo, Tandes Lor   Surabaya, East Java   Indonesia 60187</t>
  </si>
  <si>
    <t>CID001449</t>
  </si>
  <si>
    <t>Ji. Gardu Induk Pln No.5, Margomulyo, Tandes Lor</t>
  </si>
  <si>
    <t>Pt Metals Indonesia</t>
  </si>
  <si>
    <t>Pt Natari</t>
  </si>
  <si>
    <t>Pt Psjaya Abadi</t>
  </si>
  <si>
    <t>Pt Putra Karya</t>
  </si>
  <si>
    <t>Pt Rajwa International</t>
  </si>
  <si>
    <t>Pt Singkep Times Utama</t>
  </si>
  <si>
    <t>CID002476</t>
  </si>
  <si>
    <t>Pt Solder Indonesia</t>
  </si>
  <si>
    <t>Pt Supra Sukses Trinusa</t>
  </si>
  <si>
    <t>CID001476</t>
  </si>
  <si>
    <t>Cikarang</t>
  </si>
  <si>
    <t>Pt Timah (Persero), Tbk</t>
  </si>
  <si>
    <t>Jalan Raya Peltim Muntok</t>
  </si>
  <si>
    <t>Bangka Barat</t>
  </si>
  <si>
    <t>Bangka Belitung</t>
  </si>
  <si>
    <t>Ria Wardhani Pawan</t>
  </si>
  <si>
    <t>Ria@Pttimah.Co.Id</t>
  </si>
  <si>
    <t>Pt Yinchendo Mining Industry</t>
  </si>
  <si>
    <t>CID001494</t>
  </si>
  <si>
    <t>Pt. Citralogam Alphasejatera</t>
  </si>
  <si>
    <t>Pt. Koba Tin</t>
  </si>
  <si>
    <t>Pt. Stanlndo Inti Perkasa(Former Cv Ds Jaya Abadi)</t>
  </si>
  <si>
    <t>Pt. Supra Sukses Trinusa</t>
  </si>
  <si>
    <t>Pt. Tambang Timah</t>
  </si>
  <si>
    <t>Pangkalponang 33121 Bangka, Indonesia</t>
  </si>
  <si>
    <t>Pangkalponang</t>
  </si>
  <si>
    <t>Mr Y S Yoo(Andrew)</t>
  </si>
  <si>
    <t>822-3773-5156</t>
  </si>
  <si>
    <t>Recycling Manufacturer (Company Secret)</t>
  </si>
  <si>
    <t>Rt Refined Banka Tin</t>
  </si>
  <si>
    <t>Selayang Solder Sdn Bhd</t>
  </si>
  <si>
    <t>Sip</t>
  </si>
  <si>
    <t>Solderindo</t>
  </si>
  <si>
    <t>Stanchem Sp. J. (Trader)</t>
  </si>
  <si>
    <t>Taiwan Huanliang</t>
  </si>
  <si>
    <t>Tambang Timah</t>
  </si>
  <si>
    <t>Timah</t>
  </si>
  <si>
    <t>Jl. Jenderal Sudirman 51, Pangkal Pinang 33121, Bangka, Indonesia.</t>
  </si>
  <si>
    <t>Mr.Lin</t>
  </si>
  <si>
    <t>Plc.Tw@Msa.Hinet.Net</t>
  </si>
  <si>
    <t>Timah Indonesian State Tin Corp.</t>
  </si>
  <si>
    <t>Tinindo</t>
  </si>
  <si>
    <t>Unit Metalurgi Pt Timah (Persero) Tbk</t>
  </si>
  <si>
    <t>Unit Timah Kundur Pt Tambang</t>
  </si>
  <si>
    <t>Kep.Riau</t>
  </si>
  <si>
    <t>Dani Virza</t>
  </si>
  <si>
    <t>Dani@Pttimah.Co.Id</t>
  </si>
  <si>
    <t>United Smelter</t>
  </si>
  <si>
    <t>Almag</t>
  </si>
  <si>
    <t>Pgc(Potassium Gold Cyanide)</t>
  </si>
  <si>
    <t>Dickmann S.R.L.</t>
  </si>
  <si>
    <t>Dpi (Heraeus)</t>
  </si>
  <si>
    <t>Cassano D'adda</t>
  </si>
  <si>
    <t>Milano</t>
  </si>
  <si>
    <t>Sig. Biffi</t>
  </si>
  <si>
    <t>Marco.Biffi@Dpielettronica.It</t>
  </si>
  <si>
    <t>Galf S.R.L. Special Aluminium Alloys</t>
  </si>
  <si>
    <t>Hitachi Seiren</t>
  </si>
  <si>
    <t>Kme Brass Italy</t>
  </si>
  <si>
    <t>Mettalo</t>
  </si>
  <si>
    <t>Raffmetal Spa</t>
  </si>
  <si>
    <t>Sacal Spa</t>
  </si>
  <si>
    <t>Carsico</t>
  </si>
  <si>
    <t>Alessandra Manini</t>
  </si>
  <si>
    <t>A.Manini@Vedanimetalli.It</t>
  </si>
  <si>
    <t>Solle Soll</t>
  </si>
  <si>
    <t>Todini And Co Spa</t>
  </si>
  <si>
    <t>Trafilerie Carlo Gnutti S.P.A.</t>
  </si>
  <si>
    <t>Chiari</t>
  </si>
  <si>
    <t>Brescia</t>
  </si>
  <si>
    <t>Info@Gnuttichiari.It</t>
  </si>
  <si>
    <t>Vedani Carlo Metalli</t>
  </si>
  <si>
    <t>Stefano Bollea</t>
  </si>
  <si>
    <t>Rsgi@Sacalalluminio.Com</t>
  </si>
  <si>
    <t>A.L.M.T. Tungsten Corp.</t>
  </si>
  <si>
    <t>Act Japan</t>
  </si>
  <si>
    <t>Asahi Pretec Corp</t>
  </si>
  <si>
    <t>Nissei Sannomiya Bldg,4-4-17 Kanocho Chuo-Ku</t>
  </si>
  <si>
    <t>(+81)783-33-5600</t>
  </si>
  <si>
    <t>Asahi Seiren Co., Ltd</t>
  </si>
  <si>
    <t>Oaza-Okayama Aza-Senadeyama 4-24</t>
  </si>
  <si>
    <t>Hazugun Kiracho</t>
  </si>
  <si>
    <t>Aiti</t>
  </si>
  <si>
    <t>Chofu Works</t>
  </si>
  <si>
    <t>14-1 Chofu Minatomachi, Shimonoseki, Yamaguchi 752-0953, Japan</t>
  </si>
  <si>
    <t>Eiji Osue</t>
  </si>
  <si>
    <t>Osue.Eiji@Kobelco.Com</t>
  </si>
  <si>
    <t>N.A.</t>
  </si>
  <si>
    <t>Chuetsu-Metal Corporation</t>
  </si>
  <si>
    <t>Dawa Matals &amp; Mining Co.,Ltd</t>
  </si>
  <si>
    <t>Dohino Metal</t>
  </si>
  <si>
    <t>Doi Field Metals Co., Ltd.</t>
  </si>
  <si>
    <t>Doino Kinzoku</t>
  </si>
  <si>
    <t>Fuji Metal Mining Corp</t>
  </si>
  <si>
    <t>Fukuoka,Japan</t>
  </si>
  <si>
    <t>Furukawa Electric</t>
  </si>
  <si>
    <t>Marunouchi Nakadori Bldg., 2-3, Marunouchi 2-Chome, Chiyodaku</t>
  </si>
  <si>
    <t>Tel: +81-332863001 Http://Www.Furukawa.Co.Jp</t>
  </si>
  <si>
    <t>H.C. Starck Ltd</t>
  </si>
  <si>
    <t>No.9 Industrial Park</t>
  </si>
  <si>
    <t>Hitachiomiya</t>
  </si>
  <si>
    <t>Ibaraki 219-2134</t>
  </si>
  <si>
    <t>Kasai, Takanori</t>
  </si>
  <si>
    <t>Takanori.Kasai@Hcstarck.Com</t>
  </si>
  <si>
    <t>Harada Metal</t>
  </si>
  <si>
    <t>Hitachi Cable</t>
  </si>
  <si>
    <t>Akihabara Udx, 14-1, Sotokanda Itchome, Chiyoda, Tokyo, Japan</t>
  </si>
  <si>
    <t>Eric Seah</t>
  </si>
  <si>
    <t>Eric.Seah@Hitachicable.Com.Sg Http://Www.Hitachi-Cable.Com</t>
  </si>
  <si>
    <t>Gejiu &amp; Yunnan China</t>
  </si>
  <si>
    <t>Hitachi Smelting Co., Ltd.</t>
  </si>
  <si>
    <t>Hulterworth Smelter</t>
  </si>
  <si>
    <t>Ishikawa Metal Co.,Ltd.</t>
  </si>
  <si>
    <t>Japan Chofu Manufacturing Plant</t>
  </si>
  <si>
    <t>Japan Copper And Brass Co., Ltd.</t>
  </si>
  <si>
    <t>Mibra;Gam/Talison/Various Mines, Talison</t>
  </si>
  <si>
    <t>Japan Ferrar Metals</t>
  </si>
  <si>
    <t>Japan Refining Co., Ltd.</t>
  </si>
  <si>
    <t>Joetsu Bronz1 Corporation</t>
  </si>
  <si>
    <t>Jx Nippon Mining &amp; Metals Co., Ltd</t>
  </si>
  <si>
    <t>2-6-3 Otemachi</t>
  </si>
  <si>
    <t>(+81)3-5299-7000</t>
  </si>
  <si>
    <t>Kitz Metal Works Corporation</t>
  </si>
  <si>
    <t>Miyagawa Kobayakawa 7377</t>
  </si>
  <si>
    <t>Tinosi</t>
  </si>
  <si>
    <t>Naganoken</t>
  </si>
  <si>
    <t>Kobe Steel, Ltd.</t>
  </si>
  <si>
    <t>Kohoku Kogyo Co.,Ltd.</t>
  </si>
  <si>
    <t>Koki Company Limited</t>
  </si>
  <si>
    <t>Dinas Koperasi Usaha Mikro,Kecil Dan Menengam,Dan Perdagangan Provinsi Dki Jakarta Jl. Perintis Kemeroekaan / Jl. Bgr No.3  14239</t>
  </si>
  <si>
    <t>Support@Ko-Ki.Co.Jp Kato@Ko-Ki.Co.Jp</t>
  </si>
  <si>
    <t>Miho Watanabe Takashi Kato</t>
  </si>
  <si>
    <t>Kyocera Corporation</t>
  </si>
  <si>
    <t>Malaysia Aluminium &amp; Alloy Sdn.Bhd</t>
  </si>
  <si>
    <t>Matsuo Handa Co.,Ltd.</t>
  </si>
  <si>
    <t>Matsuo Solder Co., Ltd.</t>
  </si>
  <si>
    <t>Matsushima Metals Co., Ltd.</t>
  </si>
  <si>
    <t>Mihara Kinzoku Kogyo Co.,Ltd.</t>
  </si>
  <si>
    <t>Mistubishi Materials Corporation</t>
  </si>
  <si>
    <t>Mitsu Sumitomo Metal Mining Brass &amp; Copper Co.,Ltd</t>
  </si>
  <si>
    <t>Mitsubishi Materials Corp</t>
  </si>
  <si>
    <t>Verififcation Through Susan.Chorrushi@Flipchip.Com</t>
  </si>
  <si>
    <t>Not Available</t>
  </si>
  <si>
    <t>Supplier:Mitsubishi</t>
  </si>
  <si>
    <t>Mitsubishi Shindoh Co,Ltd.</t>
  </si>
  <si>
    <t>8-374, Sambocho, Sakaiku, Sakai</t>
  </si>
  <si>
    <t>Mitsui Sumitomo Metal Mining Brass &amp; Copper Co., Ltd.</t>
  </si>
  <si>
    <t>1-5-1,Shiomati</t>
  </si>
  <si>
    <t>Takehara-City</t>
  </si>
  <si>
    <t>Hiroshima-Pref</t>
  </si>
  <si>
    <t>N.E.Chemcat Corporation Japan</t>
  </si>
  <si>
    <t>New Nippon Metal Mining Co., Ltd</t>
  </si>
  <si>
    <t>New-Alloy Corporation</t>
  </si>
  <si>
    <t>Shinnishihama 1</t>
  </si>
  <si>
    <t>Toyohashi-Shi</t>
  </si>
  <si>
    <t>Aichi</t>
  </si>
  <si>
    <t>Nihon Genma Mfg.Co.,Ltd.</t>
  </si>
  <si>
    <t>Nihon Handa Co.,Ltd.</t>
  </si>
  <si>
    <t>Taito-Ku</t>
  </si>
  <si>
    <t>Zhenggong  Electronic  Co., Ltd. Sale Team</t>
  </si>
  <si>
    <t>Chinazgc@Chinazgc.Com</t>
  </si>
  <si>
    <t>Noda-City</t>
  </si>
  <si>
    <t>Chiba-Pref.</t>
  </si>
  <si>
    <t>N.Takeuchi</t>
  </si>
  <si>
    <t>N-Takeuchi@N-Fillermetals.Co.Jp</t>
  </si>
  <si>
    <t>Pt. Timah</t>
  </si>
  <si>
    <t>Nippon Shindo Co.,Ltd.</t>
  </si>
  <si>
    <t>Nippon Steel Sumitomo Metal Co., Ltd.</t>
  </si>
  <si>
    <t>Nohon Superior Co.,</t>
  </si>
  <si>
    <t>Nrudakoto Ltd.</t>
  </si>
  <si>
    <t>O.M. Ltd.</t>
  </si>
  <si>
    <t>Ohio Precious Metals</t>
  </si>
  <si>
    <t>Ohki Brass &amp;Copper Co.,Ltd.</t>
  </si>
  <si>
    <t>Nobidome 8-19-1</t>
  </si>
  <si>
    <t>Niizasi</t>
  </si>
  <si>
    <t>Saitamaken</t>
  </si>
  <si>
    <t>Osaka Asahi Metal K.K.</t>
  </si>
  <si>
    <t>Ozawa Kinzoku</t>
  </si>
  <si>
    <t>Phonon Meiwa Inc.</t>
  </si>
  <si>
    <t>965 Anada-Cho, Seto-Shi, Aichi Pref. 498-0003 Japan.</t>
  </si>
  <si>
    <t>Unkown</t>
  </si>
  <si>
    <t>Reiborudo Co., Ltd.</t>
  </si>
  <si>
    <t>Saitamaken Irumasi Sayama Ke Hara</t>
  </si>
  <si>
    <t>San-Etsu Metals</t>
  </si>
  <si>
    <t>Sasaki Chemical Co.,Ltd.</t>
  </si>
  <si>
    <t>Sasaki Solder Corporation</t>
  </si>
  <si>
    <t>2-20-3, Kyohamajima</t>
  </si>
  <si>
    <t>Ohta-Ku</t>
  </si>
  <si>
    <t>Kazuhiro Sasaki</t>
  </si>
  <si>
    <t>Seju Industry</t>
  </si>
  <si>
    <t>Senju Metal Industry Co. (Smic)</t>
  </si>
  <si>
    <t>23 Senju-Hashido-Cho Adachi-Ku, Tokyo, Japan</t>
  </si>
  <si>
    <t>Tel: +81-338885151</t>
  </si>
  <si>
    <t>Settu Chemical Industry</t>
  </si>
  <si>
    <t>Shanmao Technology Inc</t>
  </si>
  <si>
    <t>Shinko Leadmikk Co.,Ltd</t>
  </si>
  <si>
    <t>No. 2, No. 1, Kitakyushu, Fukuoka Prefecture Moji-Ku Komorie 2-Chome</t>
  </si>
  <si>
    <t>Kitakyushu</t>
  </si>
  <si>
    <t>Fukuoka Prefecture</t>
  </si>
  <si>
    <t>Showa Kako</t>
  </si>
  <si>
    <t>Sinnihon Brass Co.,Ltd</t>
  </si>
  <si>
    <t>Kamakazu 5844-3</t>
  </si>
  <si>
    <t>Asahisi</t>
  </si>
  <si>
    <t>Smelting Co., Ltd. Hitachi</t>
  </si>
  <si>
    <t>Narumi-Cho Choda 75-1</t>
  </si>
  <si>
    <t>Midoriku Nagoya-City</t>
  </si>
  <si>
    <t>81-52-891-8451</t>
  </si>
  <si>
    <t>Solder: Nippon Filler Metals Ltd (Tin: Pt Timah)</t>
  </si>
  <si>
    <t>Tamura Corporation</t>
  </si>
  <si>
    <t>Higashi-Oixumi</t>
  </si>
  <si>
    <t>Nerima-Ku 178-8511</t>
  </si>
  <si>
    <t>Tanaka Kikinzoku International K.K.</t>
  </si>
  <si>
    <t>Tarutin Kester Co., Ltd.</t>
  </si>
  <si>
    <t>TDK</t>
  </si>
  <si>
    <t>100,Aza-Budojimakisakata-Mach</t>
  </si>
  <si>
    <t>100,Aza-Budojimakisakata-Machi, Nikaho-Shi,</t>
  </si>
  <si>
    <t>Nikaho</t>
  </si>
  <si>
    <t>The Miller Company</t>
  </si>
  <si>
    <t>Tianjin Haoxin Technology Co., Ltd.</t>
  </si>
  <si>
    <t>Tochij</t>
  </si>
  <si>
    <t>Tokyo Namari Co.,Ltd.</t>
  </si>
  <si>
    <t>3-1-3 Nishiura</t>
  </si>
  <si>
    <t>Funabashi</t>
  </si>
  <si>
    <t>Toyama, Japan</t>
  </si>
  <si>
    <t>Uchihashi Estec Co., Ltd.</t>
  </si>
  <si>
    <t>Usugidenkaikougyou Co.,Ltd.</t>
  </si>
  <si>
    <t>Usuginu Electrolytic Industries</t>
  </si>
  <si>
    <t>Watanabe Plating Co.</t>
  </si>
  <si>
    <t>Yahataseitetsusho</t>
  </si>
  <si>
    <t>International Wire Group, Inc</t>
  </si>
  <si>
    <t>Bintulu</t>
  </si>
  <si>
    <t>Rahman Hydraulic Tin Sdn Bhd</t>
  </si>
  <si>
    <t>Malaysia</t>
  </si>
  <si>
    <t>Corporation Berhad (Msc)</t>
  </si>
  <si>
    <t>Electroloy Coroperation Sdn Bhd</t>
  </si>
  <si>
    <t>Jalan Bayu 7</t>
  </si>
  <si>
    <t>Masai</t>
  </si>
  <si>
    <t>Alex Yeh/ 07-3883559</t>
  </si>
  <si>
    <t>Emp88@Singnet.Com.Sg Tamawira@Tm.Net.My</t>
  </si>
  <si>
    <t>Grik Perak Malaysia</t>
  </si>
  <si>
    <t>Ignorance</t>
  </si>
  <si>
    <t>Jalanpantai/Malaysia</t>
  </si>
  <si>
    <t>Jaujanq_Malaysia Smelting Corp</t>
  </si>
  <si>
    <t>Lupon Enterprise Co., Ltd</t>
  </si>
  <si>
    <t>Malayasia Smelting Corporation</t>
  </si>
  <si>
    <t>Mr. Raveentiran Krishnan</t>
  </si>
  <si>
    <t>Beranang</t>
  </si>
  <si>
    <t>Selangor</t>
  </si>
  <si>
    <t>Mr. Krishnamoorty</t>
  </si>
  <si>
    <t>Krish@Maalloys.Com.My</t>
  </si>
  <si>
    <t>Malaysia Alluminium Alloy Sdn.Bhd</t>
  </si>
  <si>
    <t>Metahub Industries Sdn Bhd.</t>
  </si>
  <si>
    <t>Lot 2247 &amp; 2248,Jalan Seelong Jaya 8,Seelong Jaya, 81300, Skudai</t>
  </si>
  <si>
    <t>Skudai</t>
  </si>
  <si>
    <t>Jahor</t>
  </si>
  <si>
    <t>Msc (Malaysia Smelting Corp)</t>
  </si>
  <si>
    <t>Perusahaan Sadur Timah Malasia</t>
  </si>
  <si>
    <t>Rahman Hydraulic Tin Berhad</t>
  </si>
  <si>
    <t>B-15-11, Block B, 15th Floor, Unit 11, Megan Avenue Ii, 12, Jalan Yap Kwan Seng, ; Kuala Lumpur; Wilayah Persekutuan; 50450</t>
  </si>
  <si>
    <t>Kuala Lumpur</t>
  </si>
  <si>
    <t>Info@Malaysianminerals.Com</t>
  </si>
  <si>
    <t>Monitoring CFSI Certifications.</t>
  </si>
  <si>
    <t>Redring Solder(M)Sdn Bhd</t>
  </si>
  <si>
    <t>Lot17486,Jin,Dua,Taman,Selayang Baru</t>
  </si>
  <si>
    <t>Shen Mao Solder (M) Sdn. Bhd.</t>
  </si>
  <si>
    <t>Sinitron, Shenmao Solder (M) Sdn. Bhd.</t>
  </si>
  <si>
    <t>No. 7 Lorong Jelawat 8 Kawasan Perusahaan Sebarang Jaya 13700 Perai Pulau Pinang</t>
  </si>
  <si>
    <t>Jennie Oon (Marketing Manager)</t>
  </si>
  <si>
    <t>Jennieoon@Shenmao.Com.My Tel: +60-124823997 Http://Www.Shenmao.Com</t>
  </si>
  <si>
    <t>SMIC Senju Malaysia</t>
  </si>
  <si>
    <t>Lot 36, Persiaran Sabak Bernam, Sector B, Hicom Industrial Area, Seksyen 26, 40000</t>
  </si>
  <si>
    <t>Shah Alam</t>
  </si>
  <si>
    <t>Selangor Darual Ehsan, Malaysia.</t>
  </si>
  <si>
    <t>Kazuhisa Lshida</t>
  </si>
  <si>
    <t>Vignes@Senju.Com.My</t>
  </si>
  <si>
    <r>
      <t>Solnet Metal Industry Co., Ltd.</t>
    </r>
    <r>
      <rPr>
        <sz val="11"/>
        <color rgb="FF000000"/>
        <rFont val="MS Gothic"/>
        <family val="3"/>
      </rPr>
      <t>？</t>
    </r>
  </si>
  <si>
    <t>Supplier:Uniforce</t>
  </si>
  <si>
    <r>
      <t>27,Jalanpantai,12000 Butterworth</t>
    </r>
    <r>
      <rPr>
        <sz val="11"/>
        <color rgb="FF000000"/>
        <rFont val="MS Gothic"/>
        <family val="3"/>
      </rPr>
      <t>：</t>
    </r>
    <r>
      <rPr>
        <sz val="11"/>
        <color rgb="FF000000"/>
        <rFont val="宋体"/>
        <family val="2"/>
        <scheme val="minor"/>
      </rPr>
      <t>P.O Box2,12700</t>
    </r>
  </si>
  <si>
    <t>Miss Chu</t>
  </si>
  <si>
    <t>Sirfiner@Ms35.Hinet.Net</t>
  </si>
  <si>
    <t>Pwb</t>
  </si>
  <si>
    <t>Ye Chiu Metal Smelting Sdn Bhd</t>
  </si>
  <si>
    <t>Plo 37 &amp; 472, Jalan Keluli</t>
  </si>
  <si>
    <t>Kaw. Perind. P. Gudang</t>
  </si>
  <si>
    <t>Zhang Yao</t>
  </si>
  <si>
    <t>Exim Americana</t>
  </si>
  <si>
    <t>Carretera Pesqueria Km 3.3</t>
  </si>
  <si>
    <t>Pesqueria</t>
  </si>
  <si>
    <t>Nuevo Leon</t>
  </si>
  <si>
    <t>Arturo Lozano</t>
  </si>
  <si>
    <t>Agloza78@Gmail.Com</t>
  </si>
  <si>
    <t>Fracsa</t>
  </si>
  <si>
    <t>Parque Industrial Queretaro</t>
  </si>
  <si>
    <t>Queretaro</t>
  </si>
  <si>
    <t>Felipe Garcia</t>
  </si>
  <si>
    <t>Felipe.Garcia@Fracsa.Com.Mx</t>
  </si>
  <si>
    <t>Grupo Mexico S.A. (Mineria)</t>
  </si>
  <si>
    <t>Ind. Minera Mexico</t>
  </si>
  <si>
    <t>Marco Metales De Mexico,S. De R.L. De C.V.</t>
  </si>
  <si>
    <t>Avenida Rr 302 Parque Industrial Jm</t>
  </si>
  <si>
    <t>Apodaca</t>
  </si>
  <si>
    <t>Monica Treviño</t>
  </si>
  <si>
    <t>Monica.Trevino@Marcodemexico.Com</t>
  </si>
  <si>
    <t>Tisamatic</t>
  </si>
  <si>
    <t>Av. Promocion 145</t>
  </si>
  <si>
    <t>San Luis Potosi</t>
  </si>
  <si>
    <t>Isauro Rocha</t>
  </si>
  <si>
    <t>Isauro.Rocha@Gis.Com.Mx</t>
  </si>
  <si>
    <t>Aurubis Netherlands</t>
  </si>
  <si>
    <t>M&amp;R Claushuis Bv</t>
  </si>
  <si>
    <t>Pt. Ds Jaya Abadi</t>
  </si>
  <si>
    <t>Amalgamet - Minsur S.A.</t>
  </si>
  <si>
    <t>Minsur S.A.</t>
  </si>
  <si>
    <t>San Rafael</t>
  </si>
  <si>
    <t>Mecomsa, S.A. De C.V.</t>
  </si>
  <si>
    <t>Minsur Tin Smelter And Refinery</t>
  </si>
  <si>
    <t>Panamericana High Way, Km 238.5 , Pisco</t>
  </si>
  <si>
    <t>Mr. Jose Ore Rivera</t>
  </si>
  <si>
    <t>Jose.Ore@Minsur.Com</t>
  </si>
  <si>
    <t>Nathan Trotter &amp; Co Inc</t>
  </si>
  <si>
    <t>Pt. Refined Bangka Tin</t>
  </si>
  <si>
    <t>Sa Minsur</t>
  </si>
  <si>
    <t>Solda Cobix</t>
  </si>
  <si>
    <t>Om Manufacturing Philippines,Inc</t>
  </si>
  <si>
    <t>Qualitek Delta Philippines Inc</t>
  </si>
  <si>
    <t>Standard Sp Z O.O.</t>
  </si>
  <si>
    <t>3 Pesochnaya Str., 426033 Izhevsk</t>
  </si>
  <si>
    <t>Izhevsk Electromechanical Plant Kupol</t>
  </si>
  <si>
    <t>Kupol</t>
  </si>
  <si>
    <t>Chukotka</t>
  </si>
  <si>
    <t>Okrug</t>
  </si>
  <si>
    <t>Chukotka Autonomous Region Of Russia</t>
  </si>
  <si>
    <t>Novosibirsk Processing Plant Ltd</t>
  </si>
  <si>
    <t>Plant Of Metals And Alloys Cjsc</t>
  </si>
  <si>
    <t>Pure Technologies</t>
  </si>
  <si>
    <t>3 Pesochnaya Str</t>
  </si>
  <si>
    <t>Russkoe Olovo</t>
  </si>
  <si>
    <t>Electroloy Metal Pte</t>
  </si>
  <si>
    <t>Heraesu Materials Singapore Pte Ltd</t>
  </si>
  <si>
    <t>Blk 5002 Ang Mo Kio Ave 5, #04-05 Techplace Ii, Singapore 569871</t>
  </si>
  <si>
    <t>See Tho Wai Khee (Qa Engineer)</t>
  </si>
  <si>
    <t>Waikhee.Seetho@Heraeus.Com Tel: +65-65717888</t>
  </si>
  <si>
    <t>Singapore Asahi Chemical &amp; Solder Industries Pte Ltd</t>
  </si>
  <si>
    <t>Sizer Metals Pte</t>
  </si>
  <si>
    <t>190 Middle Road , No 1905 ,Fortune Centre, Singapore ? 188979.</t>
  </si>
  <si>
    <t>Dinesh Jain</t>
  </si>
  <si>
    <t>Gurgaon@Kotharimetals.In</t>
  </si>
  <si>
    <t>Untracore Co.,Ltd.</t>
  </si>
  <si>
    <t>Befesa Aluminio, S.L.</t>
  </si>
  <si>
    <t>Domestic Mine. Not, Recycle.</t>
  </si>
  <si>
    <t>Cimsa, S.A.</t>
  </si>
  <si>
    <t>Norteña De Metales, Sa</t>
  </si>
  <si>
    <t>Peninsular De Latón</t>
  </si>
  <si>
    <t>Nanchang Cemented Carbide Recycled</t>
  </si>
  <si>
    <t>S. Izaguirre</t>
  </si>
  <si>
    <t>C/ Zelai Aundi 2</t>
  </si>
  <si>
    <t>Usurbil</t>
  </si>
  <si>
    <t>Usutbil</t>
  </si>
  <si>
    <t>Alain Gisbert</t>
  </si>
  <si>
    <t>Alain.Gisbert@Sizaguirre.Com</t>
  </si>
  <si>
    <t>Sevelar</t>
  </si>
  <si>
    <t>Vinco</t>
  </si>
  <si>
    <t>Cfsp Certified</t>
  </si>
  <si>
    <t>Baoshida Swissmetal</t>
  </si>
  <si>
    <t>Britannia Refined Metals Ltd.</t>
  </si>
  <si>
    <t>Cendres &amp; Métaux Sa</t>
  </si>
  <si>
    <t>Egli Fischer</t>
  </si>
  <si>
    <t>Impag Ag</t>
  </si>
  <si>
    <t>Feldeggstrasse 26</t>
  </si>
  <si>
    <t>Impag A.G., Metalls &amp; Alloys</t>
  </si>
  <si>
    <t>Info@Impag.Ch</t>
  </si>
  <si>
    <t>Metallum Metal Trading Company</t>
  </si>
  <si>
    <t>Swissmetal</t>
  </si>
  <si>
    <t>All Armor Minoru Industry (Co ) Co., Ltd.</t>
  </si>
  <si>
    <t>Alpha Metals (Taiwan) Inc.</t>
  </si>
  <si>
    <t>Average Reduction</t>
  </si>
  <si>
    <t>Chan Wen Copper Industry Co.,Ltd.</t>
  </si>
  <si>
    <t>Chernan Technology</t>
  </si>
  <si>
    <t>Fanny Zheng</t>
  </si>
  <si>
    <t>Taiwan@Chernan.Com</t>
  </si>
  <si>
    <t>Chia Far</t>
  </si>
  <si>
    <t>Chuan Kai Aluminum Co,.Ltd.</t>
  </si>
  <si>
    <t>Gejiu.Yunnan Province.Jinhu Road 121</t>
  </si>
  <si>
    <t>Yangyiwu</t>
  </si>
  <si>
    <t>Yyw@Asem.Cn/Asem@Asem.Cn</t>
  </si>
  <si>
    <t>Tin Ball Used For Plated Lead</t>
  </si>
  <si>
    <t>Daiki Aluminium Industry Co., Ltd.</t>
  </si>
  <si>
    <t>Fa Chia Metal</t>
  </si>
  <si>
    <t>No.11, Minsheng Rd., Rende Dist.,</t>
  </si>
  <si>
    <t>Tainan City 71750</t>
  </si>
  <si>
    <t>Taiwan (R.O.C.)</t>
  </si>
  <si>
    <t>杜思寬</t>
  </si>
  <si>
    <t>Fj@Fachiametal.Com</t>
  </si>
  <si>
    <t>Full Armor Industries (Shares) Ltd.</t>
  </si>
  <si>
    <t>Ganzhou Sinda W&amp;Mo Co., Ltd.</t>
  </si>
  <si>
    <t>High-Tech Co., Ltd.</t>
  </si>
  <si>
    <t>Hua Eng Wire &amp; Cable Co., Ltd.</t>
  </si>
  <si>
    <t>No. 170, Chung Cheng 4th Rd., Chien Chin Dist., Kaohsiung City, Taiwan, R.O.C.</t>
  </si>
  <si>
    <t>Mis Huang</t>
  </si>
  <si>
    <t>Hehq3f@Hegroup.Com.Tw</t>
  </si>
  <si>
    <t>Huayou</t>
  </si>
  <si>
    <t>No.111, Xiamen St., Lingya Dist.</t>
  </si>
  <si>
    <t>Kaohsiung</t>
  </si>
  <si>
    <t>Kainan Metal Ind. Co. Ltd</t>
  </si>
  <si>
    <t>No 43, Min Tzu Rd.</t>
  </si>
  <si>
    <t>Xinshi Dist.</t>
  </si>
  <si>
    <t>Tainan City 744</t>
  </si>
  <si>
    <t>The Supplier Is EICC Member|Na</t>
  </si>
  <si>
    <t>China (Guangxi Area</t>
  </si>
  <si>
    <t>Minchali Metal Industry Co. Ltd.</t>
  </si>
  <si>
    <t>Mitsubishi</t>
  </si>
  <si>
    <t>Mmc (Mitsubishi Materials Corporation) Japan</t>
  </si>
  <si>
    <t>Pan Jit International Inc.</t>
  </si>
  <si>
    <t>Quan Kai Shiye(Gu)Youxian Gongsi</t>
  </si>
  <si>
    <t>Redsun Metal Ind Co.,Ltd</t>
  </si>
  <si>
    <t>Shenmao Technology Inc</t>
  </si>
  <si>
    <t>No.12-1, Gongye 2nd Rd., Guanyin Industrial Area</t>
  </si>
  <si>
    <t>Taoyuan County</t>
  </si>
  <si>
    <t>Tai Wan Qing Gao Qi Ye You Xian Gong Si</t>
  </si>
  <si>
    <t>Taiwan In High-Tech Co.</t>
  </si>
  <si>
    <t>Taiwan Totai Co., Ltd</t>
  </si>
  <si>
    <t>Thai Sarco Thailand</t>
  </si>
  <si>
    <t>Thye Ming Industrial Co.,Ltd</t>
  </si>
  <si>
    <t>9350p00473</t>
  </si>
  <si>
    <t>Totai</t>
  </si>
  <si>
    <t>No.11-6, Neicuo St., Luzhu Township, Taoyuan County 338, Taiwan (R.O.C.)</t>
  </si>
  <si>
    <t>Luzhu Township</t>
  </si>
  <si>
    <t>Chén Wàn Fa</t>
  </si>
  <si>
    <t>Unmeinco@Ms43.Hinet.Net</t>
  </si>
  <si>
    <t>Units Year High Technology Co. , Ltd.</t>
  </si>
  <si>
    <t>Vertex Metals Incorporation</t>
  </si>
  <si>
    <t>Ningxia 73000</t>
  </si>
  <si>
    <t>Li Bin</t>
  </si>
  <si>
    <t>Information Not Provided By Smelter</t>
  </si>
  <si>
    <t>Walsin</t>
  </si>
  <si>
    <t>Walsin Lihwa Corporation</t>
  </si>
  <si>
    <t>Welley</t>
  </si>
  <si>
    <t>Well-Lin Enterprise Co Ltd</t>
  </si>
  <si>
    <t>8f, No. 12, Lane 235,Pao Chiao Rd., Hsien-Tien City, Taipei Hsien, Taiwan R.O.C.</t>
  </si>
  <si>
    <t>Xia Yi Jinshu Gongye(Gu)Youxian Gongsi</t>
  </si>
  <si>
    <t>Ya Qiao Giye Gufen Youxian Gongsi</t>
  </si>
  <si>
    <t>Yongsun Corporation</t>
  </si>
  <si>
    <t>Yuang-Hsian Metal Industrial Corp</t>
  </si>
  <si>
    <t>Yuang-Hsian Metal Industrial Corp.</t>
  </si>
  <si>
    <t>Zong Yang Industrial Co., Ltd.</t>
  </si>
  <si>
    <t>Zong Yang Shiye Youxian Gongsi</t>
  </si>
  <si>
    <t>Electrology Corporation Sdn. Bhd</t>
  </si>
  <si>
    <t>Dowa  Metaltech (Thailand) Co.,Ltd</t>
  </si>
  <si>
    <t>177/1 Moo 7 Gateway City Industrial Estate, T.Huasamrong, A.Plaenyao, Chachoengsao 24190</t>
  </si>
  <si>
    <t>Thailand</t>
  </si>
  <si>
    <t>Chachoengsao</t>
  </si>
  <si>
    <t>Fuji Metal Mining</t>
  </si>
  <si>
    <t>No. 597, Longdong Rd</t>
  </si>
  <si>
    <t>Jungli</t>
  </si>
  <si>
    <t>Adam Lin</t>
  </si>
  <si>
    <t>Adam@Gretech.Co</t>
  </si>
  <si>
    <t>Nihon Genma Co., Ltd</t>
  </si>
  <si>
    <t>Padaeng Industry Co;Ltd</t>
  </si>
  <si>
    <t>Taboca</t>
  </si>
  <si>
    <t>1297 Songward Rd, Sumpunthawong, Bangkok, Thailand 10100</t>
  </si>
  <si>
    <t>Ms.Pornpun</t>
  </si>
  <si>
    <t>Thsolder@Truemail.Co.Th</t>
  </si>
  <si>
    <t>Thailand Mine Factory</t>
  </si>
  <si>
    <t>Thailand Smelting And Refining Co. Ltd.</t>
  </si>
  <si>
    <t>A.Mung</t>
  </si>
  <si>
    <t>Thaisarcothailand Smelting And Refining Co. Ltd.</t>
  </si>
  <si>
    <t>Pireks</t>
  </si>
  <si>
    <t>Sarbak</t>
  </si>
  <si>
    <t>5nplus</t>
  </si>
  <si>
    <t>Wellingborough</t>
  </si>
  <si>
    <t>United Kingdom</t>
  </si>
  <si>
    <t>Amalgamated Metals Corporation, Ketabang</t>
  </si>
  <si>
    <t>David Glasspool</t>
  </si>
  <si>
    <t>David.Glasspool@Amcgroup.Com</t>
  </si>
  <si>
    <t>Botany Road, Northfleet</t>
  </si>
  <si>
    <t>Gravesend</t>
  </si>
  <si>
    <t>Kent, Da11  9bg</t>
  </si>
  <si>
    <t>Graeme Craven, Sales &amp; Marketing Manager</t>
  </si>
  <si>
    <t>Website: Www.Xstrata.Com</t>
  </si>
  <si>
    <t>Darley Dale Smelter</t>
  </si>
  <si>
    <t>Frost Electroplating Lt</t>
  </si>
  <si>
    <t>H.J.Enthoven &amp; Sons</t>
  </si>
  <si>
    <t>H.J.Enthoven &amp; Sons Is A Division Of H.J.Enthoven Ltddarley Dale Smelter, South Darley</t>
  </si>
  <si>
    <t>Matlock</t>
  </si>
  <si>
    <t>Lisa J Mellor, Marketing &amp; Sales Manager</t>
  </si>
  <si>
    <t>Info@Hjenthoven.Co.Uk</t>
  </si>
  <si>
    <t>Hl Thorne</t>
  </si>
  <si>
    <t>Oldbury</t>
  </si>
  <si>
    <t>West Midlands</t>
  </si>
  <si>
    <t>Metal@Thornegroup.Co.Uk</t>
  </si>
  <si>
    <t>Karas Plating Ltd</t>
  </si>
  <si>
    <t>Katabang</t>
  </si>
  <si>
    <t>Keeling &amp; Walker</t>
  </si>
  <si>
    <t>Whieldon Road</t>
  </si>
  <si>
    <t>Stoke-On-Trend</t>
  </si>
  <si>
    <t>Stephen Lipiec</t>
  </si>
  <si>
    <t>Sales@Keelingwalker.Co.Uk</t>
  </si>
  <si>
    <t>London</t>
  </si>
  <si>
    <t>Ec2n 3ah</t>
  </si>
  <si>
    <t>Davil.Glasspool@Amcgroup.Com</t>
  </si>
  <si>
    <t>Makin Metal Powders (Uk) Ltd</t>
  </si>
  <si>
    <t>Mcp Metal Specialist Inc.</t>
  </si>
  <si>
    <t>Info@Mcp-Group.Uk</t>
  </si>
  <si>
    <t>Yunnan Tin Co. Ltd</t>
  </si>
  <si>
    <t>Schloetter Co. Ltd.</t>
  </si>
  <si>
    <t>Warton Metals Limited</t>
  </si>
  <si>
    <t>A.E.B. International, Inc.</t>
  </si>
  <si>
    <t>529 Chucks Drive</t>
  </si>
  <si>
    <t>Duncan</t>
  </si>
  <si>
    <t>Sc 29334</t>
  </si>
  <si>
    <t>Randy Massey</t>
  </si>
  <si>
    <t>Asw@Aebint.Com</t>
  </si>
  <si>
    <t>Acupowder International, Llc</t>
  </si>
  <si>
    <t>Ak Steel Corp.</t>
  </si>
  <si>
    <t>Aleris</t>
  </si>
  <si>
    <t>Allied Metal Company</t>
  </si>
  <si>
    <t>Alrec</t>
  </si>
  <si>
    <t>Aluminum Alloys Inc.</t>
  </si>
  <si>
    <t>Aluminum Resourced</t>
  </si>
  <si>
    <t>Amalgamet</t>
  </si>
  <si>
    <t>Arcelormittal Burns Harbor</t>
  </si>
  <si>
    <t>Arco Alloys</t>
  </si>
  <si>
    <t>Assaf Conductors Ltd.</t>
  </si>
  <si>
    <t>1850 South Broad St</t>
  </si>
  <si>
    <t>Pawcatuck</t>
  </si>
  <si>
    <t>Yossi Zeidman</t>
  </si>
  <si>
    <t>Astamuse</t>
  </si>
  <si>
    <t>Ati Metalworking Products</t>
  </si>
  <si>
    <t>7300 Highway 20 West</t>
  </si>
  <si>
    <t>Al</t>
  </si>
  <si>
    <t>John Torbic</t>
  </si>
  <si>
    <t>John.Torbic@Atimetals.Com</t>
  </si>
  <si>
    <t>Atlantic Metals</t>
  </si>
  <si>
    <t>100 D Benton Street, Stratford, Ct, 06615</t>
  </si>
  <si>
    <t>David Czerniawski</t>
  </si>
  <si>
    <t>David@Atlanticmetals.Com</t>
  </si>
  <si>
    <t>Atlas Pacific</t>
  </si>
  <si>
    <t>Sayre Street</t>
  </si>
  <si>
    <t>Todd Heusner</t>
  </si>
  <si>
    <t>Charter Wire</t>
  </si>
  <si>
    <t>3700 West Milwaukee Road</t>
  </si>
  <si>
    <t>Milwaukee</t>
  </si>
  <si>
    <t>Wi</t>
  </si>
  <si>
    <t>Katie Behrendt</t>
  </si>
  <si>
    <t>Behrendtk@Charterwire.Com</t>
  </si>
  <si>
    <t>Colonial Metals Company</t>
  </si>
  <si>
    <t>Continental</t>
  </si>
  <si>
    <t>Custom Alloy Light Metals Inc</t>
  </si>
  <si>
    <t>Eagle Brass</t>
  </si>
  <si>
    <t>Eastern Alloys</t>
  </si>
  <si>
    <t>Ga Avril</t>
  </si>
  <si>
    <t>Gallatin Steel</t>
  </si>
  <si>
    <t>Galva Iron &amp; Metal Co</t>
  </si>
  <si>
    <t>625 Se Industrial Ave. Galva Illinois</t>
  </si>
  <si>
    <t>Gibbs Wire &amp; Steel Co</t>
  </si>
  <si>
    <t>Metals Drive, Southington Connecticut, Usa</t>
  </si>
  <si>
    <t>Jeanne Berube</t>
  </si>
  <si>
    <t>Grant Manufacturing &amp; Alloying, Inc</t>
  </si>
  <si>
    <t>200-C North Furnace St</t>
  </si>
  <si>
    <t>Birdsboro</t>
  </si>
  <si>
    <t>Pa</t>
  </si>
  <si>
    <t>Jeff Tyler</t>
  </si>
  <si>
    <t>Jeff@Grantmfg.Com</t>
  </si>
  <si>
    <t>Peru, Bolivia, Malaysia, Indonesia, &amp; China</t>
  </si>
  <si>
    <t>H. Kramer &amp; Co.</t>
  </si>
  <si>
    <t>Hawkins, Inc.</t>
  </si>
  <si>
    <t>Hitachi Chemical Company America, Ltd.</t>
  </si>
  <si>
    <t>Huron Valley Steel Corp</t>
  </si>
  <si>
    <t>255 Marion</t>
  </si>
  <si>
    <t>River Rouge</t>
  </si>
  <si>
    <t>Mi</t>
  </si>
  <si>
    <t>Larry Berry</t>
  </si>
  <si>
    <t>Imc-Metalsamerica, Llc</t>
  </si>
  <si>
    <t>Imperial Aluminum</t>
  </si>
  <si>
    <t>Imperial Zinc, Corp.</t>
  </si>
  <si>
    <t>1031 East 103rd Street</t>
  </si>
  <si>
    <t>Chicago</t>
  </si>
  <si>
    <t>Il</t>
  </si>
  <si>
    <t>Mike Henly</t>
  </si>
  <si>
    <t>12 Masonic Ave</t>
  </si>
  <si>
    <t>Camden</t>
  </si>
  <si>
    <t>Ny 13316</t>
  </si>
  <si>
    <t>Geoff Kent</t>
  </si>
  <si>
    <t>Kalas Wire</t>
  </si>
  <si>
    <t>Macdermid</t>
  </si>
  <si>
    <t>27, Jalan Pantai, 12000 Butterworth, Penang</t>
  </si>
  <si>
    <t>Mr Chua Cheong Yong</t>
  </si>
  <si>
    <t>Msc@Msmelt.Com</t>
  </si>
  <si>
    <t>Mcp Metal Specialities Inc.</t>
  </si>
  <si>
    <t>515 Commerce Drive, Fairfield, Connecticut, United States</t>
  </si>
  <si>
    <t>Connecticut</t>
  </si>
  <si>
    <t>Midland Industries, Inc.</t>
  </si>
  <si>
    <t>1424 N. Halsted St.</t>
  </si>
  <si>
    <t>Garvey Madden</t>
  </si>
  <si>
    <t>Millard Wire</t>
  </si>
  <si>
    <t>449 Warwick Industrial Drive, Warwick, Rhode Island 02886-2416</t>
  </si>
  <si>
    <t>Yl Wong (Representative From Willardwire)</t>
  </si>
  <si>
    <t>Tamawira@Tm.Net.My</t>
  </si>
  <si>
    <t>Miller Company</t>
  </si>
  <si>
    <t>Nathan Trotter &amp; Co.,Inc.</t>
  </si>
  <si>
    <t>241 W. Stewart Huston Dr.</t>
  </si>
  <si>
    <t>Coatesville</t>
  </si>
  <si>
    <t>Pa 19320</t>
  </si>
  <si>
    <t>Daryl Williams And Greg Mcilvain</t>
  </si>
  <si>
    <t>Sales@Nathantrotter.Com</t>
  </si>
  <si>
    <t>None Required Domestic Scrap Recycler, But Will Encourege To Register As A Refinerwith EICC &amp;Cfs.Org</t>
  </si>
  <si>
    <t>North Star Bluescope Steel, Llc</t>
  </si>
  <si>
    <t>Ohio Precious Metals, Llc</t>
  </si>
  <si>
    <t>Palm International</t>
  </si>
  <si>
    <t>Ritchey Metals</t>
  </si>
  <si>
    <t>Http://Www.Samtec.Com/Aboutus/</t>
  </si>
  <si>
    <t>Severstal</t>
  </si>
  <si>
    <t>Shapiro Metals</t>
  </si>
  <si>
    <t>Sipi Metals Corp</t>
  </si>
  <si>
    <t>Spectro Alloys Corporation</t>
  </si>
  <si>
    <t>Steel Dynamics</t>
  </si>
  <si>
    <t>Swopes Salvage</t>
  </si>
  <si>
    <t>Te Electronics</t>
  </si>
  <si>
    <t>Pratt Street</t>
  </si>
  <si>
    <t>Meriden</t>
  </si>
  <si>
    <t>Richard Archambault</t>
  </si>
  <si>
    <t>Richa@Themillerco.Com</t>
  </si>
  <si>
    <t>Thyssenkrupp Steel</t>
  </si>
  <si>
    <t>Univertical Corp</t>
  </si>
  <si>
    <t>Wieland Metals</t>
  </si>
  <si>
    <t>Thai Nguyen Nonferrous Metal Co</t>
  </si>
  <si>
    <t>Vqb Mineral And Trading Group Jsc</t>
  </si>
  <si>
    <t>Soft Metais, Ltda.</t>
  </si>
  <si>
    <t>White Solder Metalurgia E Mineração Ltda.</t>
  </si>
  <si>
    <t>Brazil (Ariquemes, Rodovia Area)</t>
  </si>
  <si>
    <t>`+86 7916213421</t>
  </si>
  <si>
    <t>Hydrometallurg, Jsc</t>
  </si>
  <si>
    <t>Jiangxi Minmetals Gao'an Non-Ferrous Metals Co., Ltd.</t>
  </si>
  <si>
    <t>Jiangxi Tonggu Non-Ferrous Metallurgical &amp; Chemical Co., Ltd.</t>
  </si>
  <si>
    <t>Niagara Refining Llc</t>
  </si>
  <si>
    <t>Nui Phao H.C. Starck Tungsten Chemicals Manufacturing Llc</t>
  </si>
  <si>
    <t>Pobedit, Jsc</t>
  </si>
  <si>
    <t>6600 Reutte</t>
  </si>
  <si>
    <t>Melissa Albeck</t>
  </si>
  <si>
    <t>Melissa.Albeck@Plansee.Com</t>
  </si>
  <si>
    <t>Voestalpine Rohstoffbeschaffungs Gmbh</t>
  </si>
  <si>
    <t>Linz</t>
  </si>
  <si>
    <t>Speciality Metal Trading</t>
  </si>
  <si>
    <t>604-684-5300</t>
  </si>
  <si>
    <t>Sumitomo</t>
  </si>
  <si>
    <t>Hoshi Lu</t>
  </si>
  <si>
    <t>Hoshi.Lu@Sumitomocorp.Com</t>
  </si>
  <si>
    <t>Alluter Technology (Shenzhen) Co., Ltd</t>
  </si>
  <si>
    <t>Shenzhen, Guangdong, China</t>
  </si>
  <si>
    <t>Sales Of Electronic Components  Ishida Chief</t>
  </si>
  <si>
    <t>Toshimi-Ishida@Allied-Material.Co.Jp</t>
  </si>
  <si>
    <t>Undisclosed</t>
  </si>
  <si>
    <t>Anhui Yingliu Group Inc.</t>
  </si>
  <si>
    <t>Liu'an</t>
  </si>
  <si>
    <t>Mr.Wan</t>
  </si>
  <si>
    <t>Rex.Wan@Yingliugroup.Cn</t>
  </si>
  <si>
    <t>Assab</t>
  </si>
  <si>
    <t>Beijing Advanced Metal Materials Co.,Ltd.</t>
  </si>
  <si>
    <t>2-507 No.18</t>
  </si>
  <si>
    <t>Suzhoujie</t>
  </si>
  <si>
    <t>Beijing-100080()</t>
  </si>
  <si>
    <t>Beijing General Research Institute Of Mining &amp; Metallurgy</t>
  </si>
  <si>
    <t>3-342 Fuheyuan</t>
  </si>
  <si>
    <t>Beiguan, Tongzhou Dist</t>
  </si>
  <si>
    <t>Bj</t>
  </si>
  <si>
    <t>Bzm@Bjzenith.Com.Cn</t>
  </si>
  <si>
    <t>Bejing Tian-Long</t>
  </si>
  <si>
    <t>Lucheng Town Tongzhou</t>
  </si>
  <si>
    <t>Buffalo Tungsten</t>
  </si>
  <si>
    <t>Cb-Ceratizit Cn</t>
  </si>
  <si>
    <t>Central Glass(2nd) Ganzhou Sinda W&amp;Mo Co,.Ltd. (1st)</t>
  </si>
  <si>
    <t>18 Yingkou Road</t>
  </si>
  <si>
    <t>Optoelectronic Indust. Park</t>
  </si>
  <si>
    <t>Changchun Jilin</t>
  </si>
  <si>
    <t>Wang Qi</t>
  </si>
  <si>
    <t>Aopuwq@Yahoo.Com</t>
  </si>
  <si>
    <t>Chaozhou Xianglu Tungsten Industry Co Ltd</t>
  </si>
  <si>
    <t>88 Beijingxi Road</t>
  </si>
  <si>
    <t>Chenbdu Hongbo Industrial Co.,Ltd</t>
  </si>
  <si>
    <t>Chengdu Yemaohuagong Co.,Ltd</t>
  </si>
  <si>
    <t>Chengtong Electrical Appliance Factory</t>
  </si>
  <si>
    <t>Dongguan City</t>
  </si>
  <si>
    <t>Alan Koo</t>
  </si>
  <si>
    <t>China Alluter Technology (Shenzhen) Co.,Ltd.</t>
  </si>
  <si>
    <t>China National Nonferrous</t>
  </si>
  <si>
    <t>8th Floor,Jiangxin Bldg,88 Beijing Road</t>
  </si>
  <si>
    <t>Jiangxi 330046</t>
  </si>
  <si>
    <t>Mr. Fan Jun Rong</t>
  </si>
  <si>
    <t>Dept2@Cniecjx.Com</t>
  </si>
  <si>
    <t>CMN</t>
  </si>
  <si>
    <t>Sanlihe Road, Haidian District</t>
  </si>
  <si>
    <t>Mr. Fang Ji Yun</t>
  </si>
  <si>
    <t>Fangjy@Minmetals.Com</t>
  </si>
  <si>
    <t>Diamond Road Zhuzhou Hunan China</t>
  </si>
  <si>
    <t>Duoloshan</t>
  </si>
  <si>
    <t>Sihui Av</t>
  </si>
  <si>
    <t>South Sihui City</t>
  </si>
  <si>
    <t>Emei Hengdong</t>
  </si>
  <si>
    <t>Ganbei Tungsten Industry ., Ltd</t>
  </si>
  <si>
    <t>Wudu Industrial Park</t>
  </si>
  <si>
    <t>Xiu Shui ,Jioujiang</t>
  </si>
  <si>
    <t>Fang Gang</t>
  </si>
  <si>
    <t>45th Dongyangshan Rd.</t>
  </si>
  <si>
    <t>Jianxi Province</t>
  </si>
  <si>
    <t>Robert Luo</t>
  </si>
  <si>
    <t>Ti-Cmc Members Progressing Toward Cfsp Validation, Cfsp Active Tungsten Smelters</t>
  </si>
  <si>
    <t>Ganzhou Haichuang Tungsten Industry Co., Ltd.</t>
  </si>
  <si>
    <t>Cindyshan@126.Com Tel: + 86-7978287075 Http://Tungsten-Ganzhou.Com</t>
  </si>
  <si>
    <t>Ganzhou Jiangwu</t>
  </si>
  <si>
    <t>Ganzhou Sea Dragon</t>
  </si>
  <si>
    <t>45 Dongyangshang Rd,Ganzhou,</t>
  </si>
  <si>
    <t>Shangyuxian,Tushuizhen</t>
  </si>
  <si>
    <t>Zhang Hong Miao</t>
  </si>
  <si>
    <t>Ganzhou Sinda W&amp;Mo Co. Ltd.</t>
  </si>
  <si>
    <t>45th Dongyangshan</t>
  </si>
  <si>
    <t>Ganzhou Tejing Tungsten &amp; Molybdenum Co.,Ltd</t>
  </si>
  <si>
    <t>No.16 Shantang Yi Road,Ganxian</t>
  </si>
  <si>
    <t>Huangshuxun</t>
  </si>
  <si>
    <t>Golden Egret Special Allloy Coop.</t>
  </si>
  <si>
    <t>69, Xinglong Road</t>
  </si>
  <si>
    <t>Chaozhou City, Guangdong  Province, China</t>
  </si>
  <si>
    <t>Han River Pelican Pelican State Alloy Co., Ltd.</t>
  </si>
  <si>
    <t>Hunan Chaungda</t>
  </si>
  <si>
    <t>Hunan Chun-Chang Non-Ferrous Smelting &amp; Concentrating Co., Ltd.</t>
  </si>
  <si>
    <t>Xintang</t>
  </si>
  <si>
    <t>Hengdong</t>
  </si>
  <si>
    <r>
      <t>Tel</t>
    </r>
    <r>
      <rPr>
        <sz val="11"/>
        <color rgb="FF000000"/>
        <rFont val="MS Gothic"/>
        <family val="3"/>
      </rPr>
      <t>＝</t>
    </r>
    <r>
      <rPr>
        <sz val="11"/>
        <color rgb="FF000000"/>
        <rFont val="宋体"/>
        <family val="2"/>
        <scheme val="minor"/>
      </rPr>
      <t>0086-734-5388153</t>
    </r>
  </si>
  <si>
    <t>Require Our Direct Supplier To Push The Smelter To Provide Evidence Of Conflict-Free.</t>
  </si>
  <si>
    <t>Huzhou Cemeted Carbide Works Imp. &amp; Exp. Co</t>
  </si>
  <si>
    <t>Jcc</t>
  </si>
  <si>
    <t>Jian De City Hengshan Tungsten Co., Ltd</t>
  </si>
  <si>
    <t>Jiangsu Hetian Technological Material Co.,Ltd</t>
  </si>
  <si>
    <t>Jiangxi Rare Earth &amp; Rare Metals Tungsten Group</t>
  </si>
  <si>
    <t>Jiangxi Richsea New Materials Co., Ltd.</t>
  </si>
  <si>
    <t>CID002493</t>
  </si>
  <si>
    <t>11th Floor, Jianxing Building, 88 Beijing Rd, Nanchang, Jiangxi, China</t>
  </si>
  <si>
    <t>Jilin Sichuan</t>
  </si>
  <si>
    <t>Jingxi Tungsten Co Ltd</t>
  </si>
  <si>
    <t>Jiujiang Tanbre</t>
  </si>
  <si>
    <t>Kan-Shu Kouu Alloy Co., Ltd.</t>
  </si>
  <si>
    <t>Luoyang Mudu Tungsten &amp; Molybdenum Technology  Co., Ltd</t>
  </si>
  <si>
    <t>Materion Corp.</t>
  </si>
  <si>
    <t>No.1173, Shuang Gang East Road Economy &amp; Technology Development Zone</t>
  </si>
  <si>
    <t>Ninghua Xingluokeng Tungsten Mine Co., Ltd.</t>
  </si>
  <si>
    <t>Hucun Town, Ninghua County</t>
  </si>
  <si>
    <t>Sanming</t>
  </si>
  <si>
    <t>Fujian 365401</t>
  </si>
  <si>
    <t>Jianjun Gao</t>
  </si>
  <si>
    <t>Nippon Tungsten (Shanghai) Commerce Co., Ltd.</t>
  </si>
  <si>
    <t>Sichuan Metals &amp; Materials Imp &amp; Exp Co</t>
  </si>
  <si>
    <t>Construction@Scmmiec.Com</t>
  </si>
  <si>
    <t>Id# Being Requested</t>
  </si>
  <si>
    <t>737 Hongmei Business Tower</t>
  </si>
  <si>
    <t>8075 Humin Road</t>
  </si>
  <si>
    <t>Shanghai, 200233</t>
  </si>
  <si>
    <t>Henson Qian</t>
  </si>
  <si>
    <t>Hensonqian@Sincemat.Com</t>
  </si>
  <si>
    <t>Jiangxi Mine</t>
  </si>
  <si>
    <t>Taiyo Nippon Sanso Trading (Shanghai) Co., Ltd</t>
  </si>
  <si>
    <t>1959 Zhuanxing Rd., Shenzhuang Ind. Zone, Minhang</t>
  </si>
  <si>
    <t>Shang Hai</t>
  </si>
  <si>
    <t>Toshiba Material Co., Ltd</t>
  </si>
  <si>
    <t>Tosoh Smd (Shanghai) Co., Ltd</t>
  </si>
  <si>
    <t>Western Metal Materials Co.,Ltd</t>
  </si>
  <si>
    <t>Xiamen Golden Egret Special Alloy (Hc) Co. Ltd.</t>
  </si>
  <si>
    <t>Fujian Province / China</t>
  </si>
  <si>
    <t>Jimei North Industrial</t>
  </si>
  <si>
    <t>Steve Wang</t>
  </si>
  <si>
    <t>Steve.Wang@Tungsten_China.Com</t>
  </si>
  <si>
    <t>Luokeng Mine</t>
  </si>
  <si>
    <t>Ximen Golden Egrent Special Alloy</t>
  </si>
  <si>
    <t>69, Xingling Rd, Hul</t>
  </si>
  <si>
    <t>Ximen</t>
  </si>
  <si>
    <t>(China Origin)</t>
  </si>
  <si>
    <t>Xtc H.C.</t>
  </si>
  <si>
    <t>Haicang District</t>
  </si>
  <si>
    <t>Liu Ren Feng</t>
  </si>
  <si>
    <t>Russia</t>
  </si>
  <si>
    <t>Xtc Haicang</t>
  </si>
  <si>
    <t>Zccc</t>
  </si>
  <si>
    <t>Zhangzhou Chuen Bao Apt Smeltery Co., Ltd</t>
  </si>
  <si>
    <t>CID002236</t>
  </si>
  <si>
    <t>Xiao Wen Qian</t>
  </si>
  <si>
    <t>A.M.P.E.R.E</t>
  </si>
  <si>
    <t>5/7 Rue De Bretagne</t>
  </si>
  <si>
    <t>95310 Saint Quen L'aumone</t>
  </si>
  <si>
    <t>Alloys Imphy</t>
  </si>
  <si>
    <t>Aubert &amp; Duval</t>
  </si>
  <si>
    <t>Ugitech</t>
  </si>
  <si>
    <t>Ceramtec</t>
  </si>
  <si>
    <t>Ceratizit Deutschland Gmbh</t>
  </si>
  <si>
    <t>Empfingen</t>
  </si>
  <si>
    <t>Hilde Breitkreutz</t>
  </si>
  <si>
    <t>Hilde.Breitkreutz@Ceratizit.Com</t>
  </si>
  <si>
    <t>GFE</t>
  </si>
  <si>
    <t>Berliner Allee 51-53</t>
  </si>
  <si>
    <t>40212 Düsseldorf</t>
  </si>
  <si>
    <t>CID000683</t>
  </si>
  <si>
    <t>Im Scheleeke 78-91 38641</t>
  </si>
  <si>
    <t>Gail Dewey</t>
  </si>
  <si>
    <t>Gail.Dewey@Hcstarck.Com</t>
  </si>
  <si>
    <t>Ti-Cmc Members Progressing Toward Cfsp Validation; Monitor Http://Www.Conflictfreesourcing.Org/Tungsten-Conflict-Free-Smelters/</t>
  </si>
  <si>
    <t>Mfg</t>
  </si>
  <si>
    <t>Lindemannstraße 79</t>
  </si>
  <si>
    <t>40237 Düsseldorf</t>
  </si>
  <si>
    <t>Im Scheleeke 78-91 38642</t>
  </si>
  <si>
    <t>Wolfram Industrie Mbh</t>
  </si>
  <si>
    <t>D-83278 - Traunstein</t>
  </si>
  <si>
    <t>Graphite India Limited</t>
  </si>
  <si>
    <t>S.V Engg</t>
  </si>
  <si>
    <r>
      <t xml:space="preserve">Msc </t>
    </r>
    <r>
      <rPr>
        <sz val="11"/>
        <color rgb="FF000000"/>
        <rFont val="MS Gothic"/>
        <family val="3"/>
      </rPr>
      <t>（</t>
    </r>
    <r>
      <rPr>
        <sz val="11"/>
        <color rgb="FF000000"/>
        <rFont val="MingLiU"/>
        <family val="3"/>
      </rPr>
      <t>伟特</t>
    </r>
    <r>
      <rPr>
        <sz val="11"/>
        <color rgb="FF000000"/>
        <rFont val="MS Gothic"/>
        <family val="3"/>
      </rPr>
      <t>）</t>
    </r>
  </si>
  <si>
    <t>Irtrading</t>
  </si>
  <si>
    <t>Via Arcene 22a</t>
  </si>
  <si>
    <t>Pontirolo Nuovo (Bg)</t>
  </si>
  <si>
    <t>Mr. G. Ongis</t>
  </si>
  <si>
    <t>G.Ongis@Metal-Group.Com</t>
  </si>
  <si>
    <t>Aida Chemical Industries Co.,Ltd.</t>
  </si>
  <si>
    <t>Allied Materials</t>
  </si>
  <si>
    <t>2 Iwasekoshi-Cho</t>
  </si>
  <si>
    <t>China/Us/Eu</t>
  </si>
  <si>
    <t>Almt Corp</t>
  </si>
  <si>
    <t>Junji-Matsubara@Allied-Material.Co.Jp</t>
  </si>
  <si>
    <t>Central Glass / Japan</t>
  </si>
  <si>
    <t>Diana-Kuo@Giga-Gas.Com.Tw</t>
  </si>
  <si>
    <t>Ganzhou Sinda W&amp;Mo Co,. Ltd</t>
  </si>
  <si>
    <t>Jiangxi Province / China</t>
  </si>
  <si>
    <t>Hitachi Metals, Ltd.</t>
  </si>
  <si>
    <t>Izawa Metal Co., Ltd</t>
  </si>
  <si>
    <t>187-4 Usuba Hanakawa-Cho</t>
  </si>
  <si>
    <t>Kitaibaraki-Shi</t>
  </si>
  <si>
    <t>Grace Zheng</t>
  </si>
  <si>
    <t>Gracezheng@Jadahk.Com</t>
  </si>
  <si>
    <t>菊池</t>
  </si>
  <si>
    <t>Kyoto</t>
  </si>
  <si>
    <t>Kyocera Hiroki Seto</t>
  </si>
  <si>
    <t>Hiroki.Seto.Yb@Kyocera.Jp</t>
  </si>
  <si>
    <t>Kyoritsu Gokin Co., Ltd.</t>
  </si>
  <si>
    <t>Zhu Wenyan</t>
  </si>
  <si>
    <t>Sales@Nlandtech.Com</t>
  </si>
  <si>
    <t>Metal Do</t>
  </si>
  <si>
    <t>Mitsubishi Materials</t>
  </si>
  <si>
    <t>Mitsui Mining &amp; Smelting Co., Ltd</t>
  </si>
  <si>
    <t>Nippon Micrometal Cop</t>
  </si>
  <si>
    <t>Nippon Tungsten Co., Ltd.</t>
  </si>
  <si>
    <t>Http://Www.Nittan.Co.Jp/En</t>
  </si>
  <si>
    <t>Sendi (Japan): Kyocera Corporation</t>
  </si>
  <si>
    <t>Kagoshima Sendai Plant 1810 Taki-Cho, Satsumasendai,</t>
  </si>
  <si>
    <t>Gaven Su</t>
  </si>
  <si>
    <t>Gaven-Su@Kyocera.Com.Sg</t>
  </si>
  <si>
    <t>Sumitomo Electric Industries</t>
  </si>
  <si>
    <t>Sumitomo Metal Mining Co., Ltd</t>
  </si>
  <si>
    <t>Sunaga Tungsten</t>
  </si>
  <si>
    <t>Suzuki Industry Co.,Ltd.</t>
  </si>
  <si>
    <t>スクラップ</t>
  </si>
  <si>
    <t>スクラップサプライヤー：鈴木産業</t>
  </si>
  <si>
    <t>Tamano Smelter, Hibi Kyodo Smelting Co., Ltd</t>
  </si>
  <si>
    <t>Tosoh Corporation</t>
  </si>
  <si>
    <t>Ulvac Taiwan, Inc.</t>
  </si>
  <si>
    <t>Yano Metals Co.,Ltd.</t>
  </si>
  <si>
    <t>スクラップサプライヤー：矢野金属</t>
  </si>
  <si>
    <t>Exotech.Inc</t>
  </si>
  <si>
    <t>Air Liquide Far Eastern</t>
  </si>
  <si>
    <t>Ceratizit S.A</t>
  </si>
  <si>
    <t>CID002047</t>
  </si>
  <si>
    <t>Slavyanskaya  Sq. 2/5/4 Bldg 4</t>
  </si>
  <si>
    <t>Chenzhou, Prc</t>
  </si>
  <si>
    <t>Mr. Sang</t>
  </si>
  <si>
    <t>Ctp Industries</t>
  </si>
  <si>
    <t>Cts Industries</t>
  </si>
  <si>
    <t>Ab Ferrolegeringar/Minpro</t>
  </si>
  <si>
    <t>Industrivägen 17</t>
  </si>
  <si>
    <t>Stråssa</t>
  </si>
  <si>
    <t>Minpro Ab</t>
  </si>
  <si>
    <t>Sandvik Material Technology</t>
  </si>
  <si>
    <t>Lori.Zhu</t>
  </si>
  <si>
    <t>Lori.Zhu@Sandvik.Com</t>
  </si>
  <si>
    <t>F.W. Hempel Intermetaux  S.A.</t>
  </si>
  <si>
    <t>Rue Vallin, 2</t>
  </si>
  <si>
    <t>Geneva</t>
  </si>
  <si>
    <t>Mr. C. Hempel</t>
  </si>
  <si>
    <t>C.P.Hempel@Intermetaux.Ch</t>
  </si>
  <si>
    <t>Allied Material Corp</t>
  </si>
  <si>
    <t>Chunbao Carbide Science &amp; Technology Co.,Ltd</t>
  </si>
  <si>
    <t>First Copper Technology Co Ltd</t>
  </si>
  <si>
    <t>Taiyo Nippon Sanso Taiwan, Inc.</t>
  </si>
  <si>
    <t>Wah Lee Industrial Corp.,</t>
  </si>
  <si>
    <t>Abs Group</t>
  </si>
  <si>
    <t>Goodfellow Holdings Limited</t>
  </si>
  <si>
    <t>Wogen Ressources Ltd</t>
  </si>
  <si>
    <t>Ming Ou</t>
  </si>
  <si>
    <t>Ouom@Airproducts.Com</t>
  </si>
  <si>
    <t>Alldyne Powder Technologies</t>
  </si>
  <si>
    <t>Allydne Powder Technologies</t>
  </si>
  <si>
    <t>7300 Highway 20 West,</t>
  </si>
  <si>
    <t>Alta Group</t>
  </si>
  <si>
    <t>6945 Indiana Ct</t>
  </si>
  <si>
    <t>#100, Arvada</t>
  </si>
  <si>
    <t>Co, 80007</t>
  </si>
  <si>
    <t>Alison Scott</t>
  </si>
  <si>
    <t>Alison.Scott@Honeywell.Com</t>
  </si>
  <si>
    <t>100 D Benton Street</t>
  </si>
  <si>
    <t>Stratford</t>
  </si>
  <si>
    <t>Ct, 06615</t>
  </si>
  <si>
    <t>Ati Firth Sterling</t>
  </si>
  <si>
    <t>Scrap Usa</t>
  </si>
  <si>
    <t>Ati Metals</t>
  </si>
  <si>
    <t>Al 35806</t>
  </si>
  <si>
    <t>James</t>
  </si>
  <si>
    <t>James.Oakes@Atimetals.Com</t>
  </si>
  <si>
    <t>Spwb(Resistor-Conductor Layer)</t>
  </si>
  <si>
    <t>Avx Corporation</t>
  </si>
  <si>
    <t>Bruweiler Precise Sales Co.</t>
  </si>
  <si>
    <t>Van Nuys</t>
  </si>
  <si>
    <t>California, Usa</t>
  </si>
  <si>
    <t>Cabot Corporation</t>
  </si>
  <si>
    <t>Canon-Muskegon Corp</t>
  </si>
  <si>
    <t>515 Skyline Drive</t>
  </si>
  <si>
    <t>Belle Vernon</t>
  </si>
  <si>
    <t>Pa, 15012</t>
  </si>
  <si>
    <t>Bob Wright</t>
  </si>
  <si>
    <t>Bob@Cwbmaterials.Com</t>
  </si>
  <si>
    <t>Fort Wayne Wire Die</t>
  </si>
  <si>
    <t>Gerard Daniel Worldw</t>
  </si>
  <si>
    <t>Gtp,Osram Sylvania,Global Tungsten &amp; Powders Corp Usa</t>
  </si>
  <si>
    <t>Hc Stack</t>
  </si>
  <si>
    <t>Ma, 02161</t>
  </si>
  <si>
    <t>Metal Management Aerospace</t>
  </si>
  <si>
    <t>Hartford</t>
  </si>
  <si>
    <t>Micro 100</t>
  </si>
  <si>
    <t>Meridian</t>
  </si>
  <si>
    <t>Indiana, Usa</t>
  </si>
  <si>
    <t>Midwest Tungsten Wire Co.</t>
  </si>
  <si>
    <t>7101 S. Adams St.</t>
  </si>
  <si>
    <t>Willowbrook</t>
  </si>
  <si>
    <t>Il, 60521</t>
  </si>
  <si>
    <t>Paula</t>
  </si>
  <si>
    <t>Paula@Tungsten.Com</t>
  </si>
  <si>
    <t>NA</t>
  </si>
  <si>
    <t>Saddle River</t>
  </si>
  <si>
    <t>Nj</t>
  </si>
  <si>
    <t>Michael Gerald</t>
  </si>
  <si>
    <t>Supplier Of Metal Powders</t>
  </si>
  <si>
    <t>Info From Atlantic Equipment Eng</t>
  </si>
  <si>
    <t>Praxair</t>
  </si>
  <si>
    <t>Sandvik</t>
  </si>
  <si>
    <t>Brach</t>
  </si>
  <si>
    <t>Michigan, Usa</t>
  </si>
  <si>
    <t>Soleras</t>
  </si>
  <si>
    <t>Sumitomo Electric, Usa (A.L.M.T.)</t>
  </si>
  <si>
    <t>21241 South Western Ave</t>
  </si>
  <si>
    <t>Suite 120, Torrance</t>
  </si>
  <si>
    <t>Ca, 90501</t>
  </si>
  <si>
    <t>Yasu Morita</t>
  </si>
  <si>
    <t>Ymorita@Sumitomo.Com</t>
  </si>
  <si>
    <t>210 Rodeo Drive</t>
  </si>
  <si>
    <t>Edgewood</t>
  </si>
  <si>
    <t>Nj, 11717</t>
  </si>
  <si>
    <t>Vic Fomchenko</t>
  </si>
  <si>
    <t>Victor.Fomchenko@Sylhan.Com</t>
  </si>
  <si>
    <t>125 34th Avenue Sw</t>
  </si>
  <si>
    <t>Albany</t>
  </si>
  <si>
    <t>Or, 97321</t>
  </si>
  <si>
    <t>Rick Shinn</t>
  </si>
  <si>
    <t>Rshinn@Triumphgroup.Com</t>
  </si>
  <si>
    <t>Voss Metals Company, Inc.</t>
  </si>
  <si>
    <t>Williams Brewster</t>
  </si>
  <si>
    <t>2424 American Way</t>
  </si>
  <si>
    <t>Fort Wayne</t>
  </si>
  <si>
    <t>.In, 46809</t>
  </si>
  <si>
    <t>Tino Corral</t>
  </si>
  <si>
    <t>Tcorral@Fwwd.Com</t>
  </si>
  <si>
    <t>Vietnam Youngsun Tungsten Industry Co., Ltd</t>
  </si>
  <si>
    <t>Xiamen Tungsten Co., Ltd</t>
  </si>
  <si>
    <t>Gold</t>
    <phoneticPr fontId="31"/>
  </si>
  <si>
    <t>http://www.hitachi.com/procurement/csr/initiative/index.html</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</si>
</sst>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mmmm\ d\,\ yyyy;@"/>
    <numFmt numFmtId="177" formatCode="[$-409]d\-mmm\-yyyy;@"/>
    <numFmt numFmtId="178" formatCode="0.0"/>
  </numFmts>
  <fonts count="88">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sz val="8"/>
      <color indexed="81"/>
      <name val="Tahoma"/>
      <family val="2"/>
    </font>
    <font>
      <u/>
      <sz val="10"/>
      <color indexed="12"/>
      <name val="Verdana"/>
      <family val="2"/>
    </font>
    <font>
      <sz val="8"/>
      <name val="Arial"/>
      <family val="2"/>
    </font>
    <font>
      <sz val="7"/>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7"/>
      <name val="Verdana"/>
      <family val="2"/>
    </font>
    <font>
      <sz val="11"/>
      <name val="Verdana"/>
      <family val="2"/>
    </font>
    <font>
      <sz val="11"/>
      <name val="宋体"/>
      <family val="3"/>
      <charset val="134"/>
    </font>
    <font>
      <b/>
      <sz val="11"/>
      <name val="Calibri"/>
      <family val="2"/>
    </font>
    <font>
      <sz val="11"/>
      <name val="PMingLiU"/>
      <family val="1"/>
    </font>
    <font>
      <sz val="11"/>
      <name val="ＭＳ Ｐゴシック"/>
      <family val="3"/>
      <charset val="128"/>
    </font>
    <font>
      <b/>
      <sz val="8"/>
      <name val="Verdana"/>
      <family val="2"/>
    </font>
    <font>
      <sz val="10"/>
      <name val="宋体"/>
      <family val="3"/>
      <charset val="134"/>
    </font>
    <font>
      <sz val="10"/>
      <name val="BatangChe"/>
      <family val="3"/>
      <charset val="129"/>
    </font>
    <font>
      <sz val="10"/>
      <name val="Calibri"/>
      <family val="2"/>
    </font>
    <font>
      <sz val="10"/>
      <name val="Arial Unicode MS"/>
      <family val="3"/>
    </font>
    <font>
      <sz val="11"/>
      <color rgb="FF9C0006"/>
      <name val="ＭＳ Ｐゴシック"/>
      <family val="3"/>
      <charset val="128"/>
    </font>
    <font>
      <u/>
      <sz val="10"/>
      <color theme="10"/>
      <name val="Arial"/>
      <family val="2"/>
    </font>
    <font>
      <u/>
      <sz val="11"/>
      <color theme="10"/>
      <name val="宋体"/>
      <family val="3"/>
      <charset val="128"/>
      <scheme val="minor"/>
    </font>
    <font>
      <u/>
      <sz val="12"/>
      <color theme="10"/>
      <name val="宋体"/>
      <family val="3"/>
      <charset val="128"/>
      <scheme val="minor"/>
    </font>
    <font>
      <sz val="10"/>
      <color theme="1"/>
      <name val="Arial"/>
      <family val="2"/>
    </font>
    <font>
      <sz val="11"/>
      <color theme="1"/>
      <name val="宋体"/>
      <family val="3"/>
      <charset val="128"/>
      <scheme val="minor"/>
    </font>
    <font>
      <sz val="10"/>
      <color theme="1"/>
      <name val="ＭＳ Ｐゴシック"/>
      <family val="3"/>
      <charset val="128"/>
    </font>
    <font>
      <sz val="11"/>
      <color theme="1"/>
      <name val="ＭＳ Ｐゴシック"/>
      <family val="3"/>
      <charset val="128"/>
    </font>
    <font>
      <sz val="12"/>
      <color theme="1"/>
      <name val="宋体"/>
      <family val="3"/>
      <charset val="128"/>
      <scheme val="minor"/>
    </font>
    <font>
      <sz val="10"/>
      <name val="宋体"/>
      <family val="3"/>
      <charset val="128"/>
      <scheme val="minor"/>
    </font>
    <font>
      <sz val="10"/>
      <color theme="1"/>
      <name val="Verdana"/>
      <family val="2"/>
    </font>
    <font>
      <sz val="12"/>
      <name val="宋体"/>
      <family val="3"/>
      <charset val="128"/>
      <scheme val="major"/>
    </font>
    <font>
      <u/>
      <sz val="12"/>
      <color indexed="12"/>
      <name val="宋体"/>
      <family val="3"/>
      <charset val="128"/>
      <scheme val="major"/>
    </font>
    <font>
      <u/>
      <sz val="10"/>
      <color indexed="12"/>
      <name val="宋体"/>
      <family val="3"/>
      <charset val="128"/>
      <scheme val="major"/>
    </font>
    <font>
      <sz val="10"/>
      <name val="宋体"/>
      <family val="3"/>
      <charset val="128"/>
      <scheme val="major"/>
    </font>
    <font>
      <sz val="11"/>
      <color rgb="FF000000"/>
      <name val="MS Gothic"/>
      <family val="3"/>
    </font>
    <font>
      <sz val="11"/>
      <color rgb="FF000000"/>
      <name val="宋体"/>
      <family val="2"/>
      <scheme val="minor"/>
    </font>
    <font>
      <sz val="11"/>
      <color rgb="FF000000"/>
      <name val="MingLiU"/>
      <family val="3"/>
    </font>
  </fonts>
  <fills count="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rgb="FFFFC7CE"/>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1">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64"/>
      </top>
      <bottom/>
      <diagonal/>
    </border>
    <border>
      <left/>
      <right/>
      <top style="thin">
        <color indexed="56"/>
      </top>
      <bottom style="thick">
        <color indexed="56"/>
      </bottom>
      <diagonal/>
    </border>
  </borders>
  <cellStyleXfs count="95">
    <xf numFmtId="0" fontId="0" fillId="0" borderId="0"/>
    <xf numFmtId="0" fontId="70" fillId="5" borderId="0" applyNumberFormat="0" applyBorder="0" applyAlignment="0" applyProtection="0"/>
    <xf numFmtId="176" fontId="6" fillId="0" borderId="0"/>
    <xf numFmtId="176" fontId="71" fillId="0" borderId="0" applyNumberFormat="0" applyFill="0" applyBorder="0" applyAlignment="0" applyProtection="0"/>
    <xf numFmtId="0" fontId="72" fillId="0" borderId="0" applyNumberFormat="0" applyFill="0" applyBorder="0" applyAlignment="0" applyProtection="0"/>
    <xf numFmtId="176" fontId="71" fillId="0" borderId="0" applyNumberFormat="0" applyFill="0" applyBorder="0" applyAlignment="0" applyProtection="0">
      <alignment vertical="top"/>
      <protection locked="0"/>
    </xf>
    <xf numFmtId="176" fontId="71" fillId="0" borderId="0" applyNumberFormat="0" applyFill="0" applyBorder="0" applyAlignment="0" applyProtection="0">
      <alignment vertical="top"/>
      <protection locked="0"/>
    </xf>
    <xf numFmtId="0" fontId="73" fillId="0" borderId="0" applyNumberFormat="0" applyFill="0" applyBorder="0" applyAlignment="0" applyProtection="0"/>
    <xf numFmtId="0" fontId="7" fillId="0" borderId="0" applyNumberFormat="0" applyFill="0" applyBorder="0" applyAlignment="0" applyProtection="0">
      <alignment vertical="top"/>
      <protection locked="0"/>
    </xf>
    <xf numFmtId="176" fontId="71" fillId="0" borderId="0" applyNumberFormat="0" applyFill="0" applyBorder="0" applyAlignment="0" applyProtection="0">
      <alignment vertical="top"/>
      <protection locked="0"/>
    </xf>
    <xf numFmtId="176" fontId="74" fillId="0" borderId="0"/>
    <xf numFmtId="0" fontId="6" fillId="0" borderId="0"/>
    <xf numFmtId="0" fontId="6" fillId="0" borderId="0"/>
    <xf numFmtId="176" fontId="7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176" fontId="74" fillId="0" borderId="0"/>
    <xf numFmtId="0" fontId="5" fillId="0" borderId="0"/>
    <xf numFmtId="176" fontId="6" fillId="0" borderId="0"/>
    <xf numFmtId="0" fontId="75" fillId="0" borderId="0"/>
    <xf numFmtId="0" fontId="75" fillId="0" borderId="0"/>
    <xf numFmtId="176" fontId="5" fillId="0" borderId="0"/>
    <xf numFmtId="0" fontId="75" fillId="0" borderId="0"/>
    <xf numFmtId="0" fontId="5" fillId="0" borderId="0"/>
    <xf numFmtId="0" fontId="75" fillId="0" borderId="0"/>
    <xf numFmtId="0" fontId="76" fillId="0" borderId="0">
      <alignment vertical="center"/>
    </xf>
    <xf numFmtId="176" fontId="74" fillId="0" borderId="0"/>
    <xf numFmtId="0" fontId="77" fillId="0" borderId="0"/>
    <xf numFmtId="0" fontId="75" fillId="0" borderId="0"/>
    <xf numFmtId="0" fontId="6" fillId="0" borderId="0"/>
    <xf numFmtId="0" fontId="77"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7" fillId="0" borderId="0"/>
    <xf numFmtId="0" fontId="77"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76" fontId="74" fillId="0" borderId="0"/>
    <xf numFmtId="176" fontId="74" fillId="0" borderId="0"/>
    <xf numFmtId="0" fontId="78" fillId="0" borderId="0"/>
    <xf numFmtId="0" fontId="10" fillId="0" borderId="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176" fontId="6" fillId="0" borderId="0"/>
    <xf numFmtId="176" fontId="10" fillId="0" borderId="0"/>
  </cellStyleXfs>
  <cellXfs count="400">
    <xf numFmtId="0" fontId="0" fillId="0" borderId="0" xfId="0"/>
    <xf numFmtId="0" fontId="15" fillId="2" borderId="1" xfId="0" applyFont="1" applyFill="1" applyBorder="1" applyAlignment="1" applyProtection="1">
      <alignment horizontal="center" vertical="center"/>
    </xf>
    <xf numFmtId="0" fontId="27" fillId="2" borderId="2" xfId="78"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7" fillId="2" borderId="9" xfId="78" applyFont="1" applyFill="1" applyBorder="1" applyAlignment="1">
      <alignment vertical="top" wrapText="1"/>
    </xf>
    <xf numFmtId="0" fontId="9" fillId="2" borderId="0" xfId="0" applyFont="1" applyFill="1" applyBorder="1" applyAlignment="1"/>
    <xf numFmtId="176" fontId="27" fillId="2" borderId="9" xfId="78"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8" fillId="2" borderId="9" xfId="78" applyFont="1" applyFill="1" applyBorder="1" applyAlignment="1">
      <alignment vertical="top" wrapText="1"/>
    </xf>
    <xf numFmtId="0" fontId="28" fillId="2" borderId="9" xfId="78" applyFont="1" applyFill="1" applyBorder="1" applyAlignment="1">
      <alignment vertical="center" wrapText="1"/>
    </xf>
    <xf numFmtId="0" fontId="28" fillId="2" borderId="10" xfId="78" applyFont="1" applyFill="1" applyBorder="1" applyAlignment="1">
      <alignment vertical="top" wrapText="1"/>
    </xf>
    <xf numFmtId="0" fontId="28" fillId="2" borderId="11" xfId="78" applyFont="1" applyFill="1" applyBorder="1" applyAlignment="1">
      <alignment vertical="top" wrapText="1"/>
    </xf>
    <xf numFmtId="0" fontId="41" fillId="2" borderId="12" xfId="78" applyFont="1" applyFill="1" applyBorder="1" applyAlignment="1">
      <alignment horizontal="center" vertical="center" wrapText="1"/>
    </xf>
    <xf numFmtId="0" fontId="41" fillId="2" borderId="13" xfId="78" applyFont="1" applyFill="1" applyBorder="1" applyAlignment="1">
      <alignment horizontal="center" vertical="center" wrapText="1"/>
    </xf>
    <xf numFmtId="0" fontId="30" fillId="2" borderId="13" xfId="78" applyFont="1" applyFill="1" applyBorder="1" applyAlignment="1">
      <alignment horizontal="center" vertical="center" wrapText="1"/>
    </xf>
    <xf numFmtId="0" fontId="0" fillId="2" borderId="12" xfId="0" applyFill="1" applyBorder="1" applyProtection="1"/>
    <xf numFmtId="0" fontId="0" fillId="0" borderId="0" xfId="0" applyAlignment="1">
      <alignment vertical="top"/>
    </xf>
    <xf numFmtId="0" fontId="4" fillId="0" borderId="0" xfId="0" applyFont="1" applyFill="1"/>
    <xf numFmtId="0" fontId="4" fillId="0" borderId="0" xfId="0" applyFont="1" applyFill="1" applyAlignment="1" applyProtection="1"/>
    <xf numFmtId="0" fontId="4" fillId="0" borderId="0" xfId="0" applyFont="1" applyFill="1" applyAlignment="1"/>
    <xf numFmtId="0" fontId="4" fillId="0" borderId="0" xfId="0" applyFont="1" applyFill="1" applyAlignment="1" applyProtection="1">
      <alignment wrapText="1"/>
    </xf>
    <xf numFmtId="0" fontId="0" fillId="0" borderId="0" xfId="0" applyFill="1" applyAlignment="1">
      <alignment vertical="top"/>
    </xf>
    <xf numFmtId="0" fontId="0" fillId="2" borderId="6" xfId="0" applyFill="1" applyBorder="1" applyAlignment="1" applyProtection="1">
      <alignment vertical="top" wrapText="1"/>
    </xf>
    <xf numFmtId="0" fontId="11" fillId="2" borderId="14"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5" xfId="0" applyFont="1" applyFill="1" applyBorder="1" applyAlignment="1" applyProtection="1">
      <alignment horizontal="center" vertical="center"/>
      <protection locked="0" hidden="1"/>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5" fillId="2" borderId="1" xfId="0" applyFont="1" applyFill="1" applyBorder="1" applyAlignment="1" applyProtection="1">
      <alignment vertical="center"/>
      <protection hidden="1"/>
    </xf>
    <xf numFmtId="0" fontId="14" fillId="2" borderId="15"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14" fillId="2" borderId="20" xfId="0" applyFont="1" applyFill="1" applyBorder="1" applyAlignment="1" applyProtection="1">
      <alignment wrapText="1"/>
      <protection hidden="1"/>
    </xf>
    <xf numFmtId="0" fontId="0" fillId="3" borderId="12" xfId="0" applyFill="1" applyBorder="1" applyProtection="1"/>
    <xf numFmtId="0" fontId="14" fillId="2" borderId="21" xfId="0" applyFont="1" applyFill="1" applyBorder="1" applyAlignment="1" applyProtection="1">
      <alignment horizontal="right" vertical="center"/>
      <protection hidden="1"/>
    </xf>
    <xf numFmtId="0" fontId="34" fillId="2" borderId="0"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11" fillId="2" borderId="22" xfId="0" applyFont="1" applyFill="1" applyBorder="1" applyAlignment="1" applyProtection="1">
      <alignment vertical="center"/>
    </xf>
    <xf numFmtId="0" fontId="35" fillId="2" borderId="20" xfId="0" applyFont="1" applyFill="1" applyBorder="1" applyAlignment="1" applyProtection="1">
      <alignment vertical="center"/>
    </xf>
    <xf numFmtId="0" fontId="11" fillId="2" borderId="23"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21"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4" xfId="0" applyFont="1" applyFill="1" applyBorder="1" applyAlignment="1" applyProtection="1">
      <alignment vertical="center"/>
    </xf>
    <xf numFmtId="0" fontId="15" fillId="2" borderId="15" xfId="0" applyFont="1" applyFill="1" applyBorder="1" applyAlignment="1" applyProtection="1">
      <alignment vertical="center" wrapText="1"/>
      <protection hidden="1"/>
    </xf>
    <xf numFmtId="0" fontId="15" fillId="2" borderId="14"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5" xfId="0" applyFont="1" applyFill="1" applyBorder="1" applyAlignment="1" applyProtection="1">
      <alignment horizontal="left" vertical="top" wrapText="1"/>
      <protection hidden="1"/>
    </xf>
    <xf numFmtId="0" fontId="9" fillId="0" borderId="0" xfId="91" applyFont="1" applyFill="1" applyAlignment="1" applyProtection="1"/>
    <xf numFmtId="0" fontId="6" fillId="0" borderId="0" xfId="91"/>
    <xf numFmtId="0" fontId="6" fillId="0" borderId="0" xfId="91" applyFill="1" applyAlignment="1" applyProtection="1"/>
    <xf numFmtId="0" fontId="23" fillId="0" borderId="0" xfId="89" applyFont="1" applyFill="1" applyAlignment="1" applyProtection="1">
      <alignment horizontal="center"/>
      <protection hidden="1"/>
    </xf>
    <xf numFmtId="0" fontId="23" fillId="0" borderId="0" xfId="89" applyFont="1" applyFill="1" applyAlignment="1" applyProtection="1">
      <alignment horizontal="center" wrapText="1"/>
      <protection hidden="1"/>
    </xf>
    <xf numFmtId="0" fontId="2" fillId="0" borderId="0" xfId="0" applyFont="1" applyAlignment="1" applyProtection="1">
      <alignment horizontal="center"/>
      <protection hidden="1"/>
    </xf>
    <xf numFmtId="0" fontId="29"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20" xfId="0" applyFont="1" applyFill="1" applyBorder="1" applyAlignment="1" applyProtection="1">
      <alignment horizontal="center" wrapText="1"/>
      <protection hidden="1"/>
    </xf>
    <xf numFmtId="0" fontId="14" fillId="2" borderId="22" xfId="0" applyFont="1" applyFill="1" applyBorder="1" applyAlignment="1" applyProtection="1">
      <alignment horizontal="right" vertical="center"/>
      <protection hidden="1"/>
    </xf>
    <xf numFmtId="0" fontId="0" fillId="2" borderId="6" xfId="0" applyFill="1" applyBorder="1" applyAlignment="1"/>
    <xf numFmtId="0" fontId="0" fillId="2" borderId="25" xfId="0" applyFill="1" applyBorder="1" applyAlignment="1"/>
    <xf numFmtId="0" fontId="11" fillId="2" borderId="26" xfId="0" applyFont="1" applyFill="1" applyBorder="1" applyAlignment="1" applyProtection="1">
      <alignment vertical="center"/>
      <protection hidden="1"/>
    </xf>
    <xf numFmtId="0" fontId="11" fillId="2" borderId="14"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20" xfId="0" applyFont="1" applyFill="1" applyBorder="1" applyAlignment="1" applyProtection="1">
      <alignment horizontal="left" vertical="center" wrapText="1"/>
      <protection hidden="1"/>
    </xf>
    <xf numFmtId="0" fontId="34" fillId="2" borderId="0" xfId="0" applyFont="1" applyFill="1" applyBorder="1" applyAlignment="1" applyProtection="1">
      <alignment horizontal="right"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2" xfId="0" applyBorder="1" applyAlignment="1" applyProtection="1">
      <alignment horizontal="left" vertical="center" wrapText="1"/>
      <protection hidden="1"/>
    </xf>
    <xf numFmtId="0" fontId="0" fillId="0" borderId="12" xfId="0" applyBorder="1" applyAlignment="1" applyProtection="1">
      <alignment horizontal="left" vertical="center"/>
      <protection hidden="1"/>
    </xf>
    <xf numFmtId="177" fontId="0" fillId="0" borderId="12" xfId="0" applyNumberFormat="1" applyBorder="1" applyAlignment="1" applyProtection="1">
      <alignment horizontal="left" vertical="center" wrapText="1"/>
      <protection hidden="1"/>
    </xf>
    <xf numFmtId="0" fontId="0" fillId="1" borderId="12" xfId="0" applyFill="1" applyBorder="1" applyAlignment="1" applyProtection="1">
      <alignment horizontal="left" vertical="center" wrapText="1"/>
      <protection hidden="1"/>
    </xf>
    <xf numFmtId="0" fontId="11" fillId="2" borderId="21" xfId="0" applyFont="1" applyFill="1" applyBorder="1" applyAlignment="1" applyProtection="1">
      <alignment vertical="center"/>
      <protection hidden="1"/>
    </xf>
    <xf numFmtId="0" fontId="11" fillId="2" borderId="28"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2" xfId="89" applyBorder="1" applyAlignment="1" applyProtection="1">
      <alignment vertical="center" wrapText="1"/>
      <protection hidden="1"/>
    </xf>
    <xf numFmtId="0" fontId="0" fillId="1" borderId="12" xfId="0" applyFill="1" applyBorder="1" applyAlignment="1" applyProtection="1">
      <alignment vertical="center" wrapText="1"/>
      <protection hidden="1"/>
    </xf>
    <xf numFmtId="0" fontId="7" fillId="0" borderId="12" xfId="89" applyFill="1" applyBorder="1" applyAlignment="1" applyProtection="1">
      <alignment vertical="center" wrapText="1"/>
      <protection hidden="1"/>
    </xf>
    <xf numFmtId="0" fontId="7" fillId="0" borderId="12" xfId="89" applyBorder="1" applyAlignment="1" applyProtection="1">
      <alignment vertical="center" wrapText="1"/>
    </xf>
    <xf numFmtId="0" fontId="15" fillId="2" borderId="15" xfId="0" applyFont="1" applyFill="1" applyBorder="1" applyAlignment="1" applyProtection="1">
      <alignment horizontal="left" vertical="center" wrapText="1"/>
      <protection locked="0"/>
    </xf>
    <xf numFmtId="0" fontId="39"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0"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0" xfId="0" applyNumberFormat="1" applyFont="1" applyFill="1" applyBorder="1" applyAlignment="1" applyProtection="1">
      <alignment vertical="center" wrapText="1"/>
      <protection hidden="1"/>
    </xf>
    <xf numFmtId="0" fontId="23" fillId="0" borderId="30" xfId="89" applyFont="1" applyBorder="1" applyAlignment="1" applyProtection="1">
      <alignment horizontal="center"/>
      <protection hidden="1"/>
    </xf>
    <xf numFmtId="0" fontId="2" fillId="0" borderId="31" xfId="0" applyNumberFormat="1" applyFont="1" applyFill="1" applyBorder="1" applyAlignment="1" applyProtection="1">
      <alignment vertical="center" wrapText="1"/>
      <protection hidden="1"/>
    </xf>
    <xf numFmtId="0" fontId="37" fillId="0" borderId="30" xfId="0" applyNumberFormat="1" applyFont="1" applyFill="1" applyBorder="1" applyAlignment="1" applyProtection="1">
      <alignment vertical="center" wrapText="1"/>
      <protection hidden="1"/>
    </xf>
    <xf numFmtId="0" fontId="3" fillId="4" borderId="30" xfId="0" applyFont="1" applyFill="1" applyBorder="1" applyAlignment="1" applyProtection="1">
      <alignment wrapText="1"/>
      <protection hidden="1"/>
    </xf>
    <xf numFmtId="0" fontId="3" fillId="4" borderId="30"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3"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3" fillId="0" borderId="6" xfId="0" applyFont="1" applyFill="1" applyBorder="1" applyAlignment="1" applyProtection="1">
      <alignment wrapText="1"/>
    </xf>
    <xf numFmtId="0" fontId="36" fillId="0" borderId="0" xfId="0" applyFont="1" applyFill="1" applyBorder="1" applyAlignment="1" applyProtection="1">
      <alignment horizontal="right" wrapText="1"/>
    </xf>
    <xf numFmtId="0" fontId="0" fillId="3" borderId="12" xfId="0" applyFill="1" applyBorder="1"/>
    <xf numFmtId="0" fontId="38" fillId="2" borderId="5" xfId="0" applyFont="1" applyFill="1" applyBorder="1" applyAlignment="1" applyProtection="1">
      <alignment horizontal="center" vertical="center" wrapText="1"/>
      <protection hidden="1"/>
    </xf>
    <xf numFmtId="0" fontId="42" fillId="3" borderId="12" xfId="0" applyFont="1" applyFill="1" applyBorder="1"/>
    <xf numFmtId="0" fontId="0" fillId="0" borderId="10" xfId="0" applyBorder="1" applyAlignment="1" applyProtection="1">
      <alignment horizontal="left" vertical="center"/>
      <protection locked="0" hidden="1"/>
    </xf>
    <xf numFmtId="0" fontId="11" fillId="2" borderId="32" xfId="0" applyFont="1" applyFill="1" applyBorder="1" applyAlignment="1" applyProtection="1">
      <alignment vertical="center"/>
      <protection hidden="1"/>
    </xf>
    <xf numFmtId="0" fontId="0" fillId="0" borderId="0" xfId="0" applyBorder="1" applyProtection="1">
      <protection hidden="1"/>
    </xf>
    <xf numFmtId="0" fontId="44"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3"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89" applyFill="1" applyAlignment="1" applyProtection="1">
      <alignment horizontal="center"/>
      <protection hidden="1"/>
    </xf>
    <xf numFmtId="0" fontId="45" fillId="2" borderId="26" xfId="89" applyFont="1" applyFill="1" applyBorder="1" applyAlignment="1" applyProtection="1">
      <alignment horizontal="left" vertical="center"/>
      <protection hidden="1"/>
    </xf>
    <xf numFmtId="0" fontId="46" fillId="2" borderId="0" xfId="89" applyFont="1" applyFill="1" applyAlignment="1" applyProtection="1">
      <alignment vertical="center"/>
    </xf>
    <xf numFmtId="0" fontId="46" fillId="2" borderId="0" xfId="89" applyFont="1" applyFill="1" applyBorder="1" applyAlignment="1" applyProtection="1">
      <alignment horizontal="center" vertical="center"/>
      <protection hidden="1"/>
    </xf>
    <xf numFmtId="0" fontId="47" fillId="0" borderId="20" xfId="89" applyFont="1" applyFill="1" applyBorder="1" applyAlignment="1" applyProtection="1">
      <alignment horizontal="center"/>
      <protection hidden="1"/>
    </xf>
    <xf numFmtId="0" fontId="48" fillId="2" borderId="0" xfId="89" applyFont="1" applyFill="1" applyBorder="1" applyAlignment="1" applyProtection="1">
      <alignment horizontal="center" vertical="center"/>
      <protection hidden="1"/>
    </xf>
    <xf numFmtId="0" fontId="49" fillId="2" borderId="34"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50" fillId="2" borderId="0" xfId="0" applyFont="1" applyFill="1" applyBorder="1" applyAlignment="1" applyProtection="1">
      <alignment horizontal="center" vertical="center"/>
      <protection hidden="1"/>
    </xf>
    <xf numFmtId="0" fontId="11" fillId="2" borderId="35" xfId="0" applyFont="1" applyFill="1" applyBorder="1" applyAlignment="1" applyProtection="1">
      <alignment vertical="center" wrapText="1"/>
      <protection locked="0"/>
    </xf>
    <xf numFmtId="0" fontId="11" fillId="2" borderId="36" xfId="0" applyFont="1" applyFill="1" applyBorder="1" applyAlignment="1" applyProtection="1">
      <alignment vertical="center" wrapText="1"/>
      <protection locked="0"/>
    </xf>
    <xf numFmtId="0" fontId="11" fillId="2" borderId="25"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20" xfId="0" applyFont="1" applyFill="1" applyBorder="1" applyAlignment="1" applyProtection="1">
      <alignment horizontal="left" vertical="center" wrapText="1"/>
      <protection hidden="1"/>
    </xf>
    <xf numFmtId="0" fontId="11" fillId="2" borderId="20" xfId="0" applyFont="1" applyFill="1" applyBorder="1" applyAlignment="1" applyProtection="1">
      <protection hidden="1"/>
    </xf>
    <xf numFmtId="0" fontId="14" fillId="2" borderId="37" xfId="0" applyFont="1" applyFill="1" applyBorder="1" applyAlignment="1" applyProtection="1">
      <alignment horizontal="center" wrapText="1"/>
      <protection hidden="1"/>
    </xf>
    <xf numFmtId="0" fontId="11" fillId="2" borderId="34" xfId="0" applyFont="1" applyFill="1" applyBorder="1" applyAlignment="1" applyProtection="1">
      <alignment vertical="center"/>
      <protection hidden="1"/>
    </xf>
    <xf numFmtId="0" fontId="14" fillId="2" borderId="34" xfId="0" applyFont="1" applyFill="1" applyBorder="1" applyAlignment="1" applyProtection="1">
      <alignment wrapText="1"/>
    </xf>
    <xf numFmtId="0" fontId="46" fillId="2" borderId="0" xfId="89" applyFont="1" applyFill="1" applyBorder="1" applyAlignment="1" applyProtection="1">
      <alignment vertical="center"/>
    </xf>
    <xf numFmtId="0" fontId="58" fillId="2" borderId="6" xfId="0" applyFont="1" applyFill="1" applyBorder="1" applyAlignment="1" applyProtection="1">
      <alignment vertical="top" wrapText="1"/>
    </xf>
    <xf numFmtId="0" fontId="18" fillId="2" borderId="22" xfId="0" applyFont="1" applyFill="1" applyBorder="1" applyAlignment="1" applyProtection="1">
      <alignment horizontal="right" wrapText="1"/>
      <protection hidden="1"/>
    </xf>
    <xf numFmtId="0" fontId="12" fillId="2" borderId="38" xfId="0" applyFont="1" applyFill="1" applyBorder="1" applyAlignment="1" applyProtection="1">
      <alignment vertical="center" wrapText="1"/>
    </xf>
    <xf numFmtId="0" fontId="2" fillId="2" borderId="15" xfId="0" applyFont="1" applyFill="1" applyBorder="1" applyAlignment="1" applyProtection="1">
      <alignment horizontal="left" wrapText="1"/>
      <protection hidden="1"/>
    </xf>
    <xf numFmtId="0" fontId="57" fillId="0" borderId="0" xfId="0" applyFont="1" applyFill="1" applyBorder="1" applyAlignment="1" applyProtection="1">
      <alignment horizontal="right" wrapText="1"/>
      <protection hidden="1"/>
    </xf>
    <xf numFmtId="0" fontId="2" fillId="0" borderId="39" xfId="0" applyFont="1" applyFill="1" applyBorder="1" applyAlignment="1" applyProtection="1">
      <alignment horizontal="center"/>
      <protection hidden="1"/>
    </xf>
    <xf numFmtId="0" fontId="14" fillId="2" borderId="32" xfId="0" applyFont="1" applyFill="1" applyBorder="1" applyAlignment="1" applyProtection="1">
      <alignment horizontal="center" vertical="center"/>
      <protection hidden="1"/>
    </xf>
    <xf numFmtId="0" fontId="0" fillId="0" borderId="12" xfId="0" applyBorder="1" applyAlignment="1" applyProtection="1">
      <alignment horizontal="right" vertical="center" wrapText="1"/>
      <protection hidden="1"/>
    </xf>
    <xf numFmtId="0" fontId="42" fillId="0" borderId="0" xfId="0" applyFont="1" applyProtection="1">
      <protection hidden="1"/>
    </xf>
    <xf numFmtId="2" fontId="27" fillId="2" borderId="2" xfId="78" applyNumberFormat="1" applyFont="1" applyFill="1" applyBorder="1" applyAlignment="1">
      <alignment horizontal="center" vertical="top" wrapText="1"/>
    </xf>
    <xf numFmtId="0" fontId="27" fillId="2" borderId="9" xfId="78" applyFont="1" applyFill="1" applyBorder="1" applyAlignment="1">
      <alignment horizontal="center" vertical="top" wrapText="1"/>
    </xf>
    <xf numFmtId="0" fontId="28" fillId="2" borderId="9" xfId="78" applyFont="1" applyFill="1" applyBorder="1" applyAlignment="1">
      <alignment horizontal="left" vertical="top" wrapText="1"/>
    </xf>
    <xf numFmtId="0" fontId="59" fillId="0" borderId="2" xfId="0" applyFont="1" applyFill="1" applyBorder="1" applyAlignment="1" applyProtection="1">
      <alignment wrapText="1"/>
    </xf>
    <xf numFmtId="0" fontId="59" fillId="0" borderId="9" xfId="0" applyFont="1" applyFill="1" applyBorder="1" applyAlignment="1" applyProtection="1">
      <alignment vertical="top" wrapText="1"/>
    </xf>
    <xf numFmtId="0" fontId="54" fillId="6" borderId="0" xfId="0" applyFont="1" applyFill="1" applyAlignment="1">
      <alignment vertical="top" wrapText="1"/>
    </xf>
    <xf numFmtId="0" fontId="56" fillId="6" borderId="0" xfId="36" applyNumberFormat="1" applyFont="1" applyFill="1" applyBorder="1" applyAlignment="1" applyProtection="1">
      <alignment vertical="top" wrapText="1"/>
      <protection hidden="1"/>
    </xf>
    <xf numFmtId="0" fontId="54" fillId="6" borderId="0" xfId="0" applyNumberFormat="1" applyFont="1" applyFill="1" applyAlignment="1">
      <alignment vertical="top" wrapText="1"/>
    </xf>
    <xf numFmtId="0" fontId="60" fillId="0" borderId="0" xfId="0" applyFont="1" applyAlignment="1">
      <alignment vertical="top" wrapText="1"/>
    </xf>
    <xf numFmtId="0" fontId="60" fillId="6" borderId="0" xfId="0" applyFont="1" applyFill="1" applyAlignment="1">
      <alignment vertical="top" wrapText="1"/>
    </xf>
    <xf numFmtId="0" fontId="60" fillId="6" borderId="0" xfId="0" applyFont="1" applyFill="1" applyAlignment="1">
      <alignment horizontal="left" vertical="top" wrapText="1"/>
    </xf>
    <xf numFmtId="0" fontId="54" fillId="6" borderId="0" xfId="36" applyNumberFormat="1" applyFont="1" applyFill="1" applyBorder="1" applyAlignment="1" applyProtection="1">
      <alignment vertical="top" wrapText="1"/>
      <protection hidden="1"/>
    </xf>
    <xf numFmtId="0" fontId="60" fillId="6" borderId="0" xfId="0" applyFont="1" applyFill="1" applyAlignment="1">
      <alignment wrapText="1"/>
    </xf>
    <xf numFmtId="0" fontId="54" fillId="6" borderId="0" xfId="0" applyFont="1" applyFill="1" applyAlignment="1">
      <alignment wrapText="1"/>
    </xf>
    <xf numFmtId="0" fontId="60" fillId="6" borderId="0" xfId="0" applyFont="1" applyFill="1" applyAlignment="1" applyProtection="1">
      <alignment horizontal="left" vertical="top" wrapText="1"/>
    </xf>
    <xf numFmtId="0" fontId="60" fillId="6" borderId="0" xfId="0" applyFont="1" applyFill="1" applyAlignment="1">
      <alignment horizontal="left" wrapText="1"/>
    </xf>
    <xf numFmtId="0" fontId="60" fillId="6" borderId="0" xfId="0" applyFont="1" applyFill="1" applyAlignment="1" applyProtection="1">
      <alignment wrapText="1"/>
      <protection hidden="1"/>
    </xf>
    <xf numFmtId="0" fontId="60" fillId="6" borderId="0" xfId="0" applyFont="1" applyFill="1" applyAlignment="1" applyProtection="1">
      <alignment horizontal="left" wrapText="1"/>
      <protection hidden="1"/>
    </xf>
    <xf numFmtId="0" fontId="53" fillId="6" borderId="0" xfId="36" applyFont="1" applyFill="1" applyBorder="1" applyAlignment="1">
      <alignment vertical="top" wrapText="1"/>
    </xf>
    <xf numFmtId="0" fontId="54" fillId="6" borderId="0" xfId="1" applyNumberFormat="1" applyFont="1" applyFill="1" applyBorder="1" applyAlignment="1" applyProtection="1">
      <alignment vertical="top" wrapText="1"/>
      <protection hidden="1"/>
    </xf>
    <xf numFmtId="0" fontId="54" fillId="6" borderId="0" xfId="36" applyFont="1" applyFill="1" applyAlignment="1">
      <alignment vertical="top" wrapText="1"/>
    </xf>
    <xf numFmtId="0" fontId="54" fillId="6" borderId="0" xfId="36" applyFont="1" applyFill="1" applyAlignment="1">
      <alignment horizontal="left" vertical="top" wrapText="1"/>
    </xf>
    <xf numFmtId="0" fontId="60" fillId="0" borderId="0" xfId="0" applyFont="1" applyFill="1" applyAlignment="1">
      <alignment vertical="top" wrapText="1"/>
    </xf>
    <xf numFmtId="0" fontId="56" fillId="6" borderId="0" xfId="0" applyFont="1" applyFill="1" applyAlignment="1">
      <alignment vertical="center" wrapText="1"/>
    </xf>
    <xf numFmtId="0" fontId="54" fillId="6" borderId="0" xfId="36" applyFont="1" applyFill="1" applyBorder="1" applyAlignment="1">
      <alignment vertical="top" wrapText="1"/>
    </xf>
    <xf numFmtId="0" fontId="0" fillId="0" borderId="0" xfId="0" applyFont="1" applyFill="1" applyAlignment="1">
      <alignment vertical="top" wrapText="1"/>
    </xf>
    <xf numFmtId="0" fontId="54" fillId="0" borderId="0" xfId="0" applyFont="1" applyFill="1" applyAlignment="1">
      <alignment vertical="top" wrapText="1"/>
    </xf>
    <xf numFmtId="0" fontId="54" fillId="0" borderId="0" xfId="36"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63" fillId="0" borderId="0" xfId="0" applyFont="1" applyAlignment="1">
      <alignment vertical="top" wrapText="1"/>
    </xf>
    <xf numFmtId="0" fontId="64" fillId="0" borderId="0" xfId="0" applyFont="1" applyAlignment="1">
      <alignment vertical="top" wrapText="1"/>
    </xf>
    <xf numFmtId="0" fontId="14" fillId="2" borderId="37" xfId="0" applyFont="1" applyFill="1" applyBorder="1" applyAlignment="1" applyProtection="1">
      <alignment horizontal="center" vertical="center" wrapText="1"/>
      <protection hidden="1"/>
    </xf>
    <xf numFmtId="0" fontId="14" fillId="2" borderId="40"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30"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41" xfId="0" applyFont="1" applyFill="1" applyBorder="1" applyAlignment="1" applyProtection="1">
      <alignment horizontal="center" wrapText="1"/>
    </xf>
    <xf numFmtId="0" fontId="11" fillId="2" borderId="42" xfId="0" applyFont="1" applyFill="1" applyBorder="1" applyAlignment="1" applyProtection="1">
      <alignment vertical="center"/>
    </xf>
    <xf numFmtId="0" fontId="65" fillId="0" borderId="0" xfId="0" applyFont="1" applyFill="1" applyAlignment="1" applyProtection="1">
      <alignment horizontal="center" vertical="center" wrapText="1"/>
      <protection hidden="1"/>
    </xf>
    <xf numFmtId="0" fontId="79" fillId="0" borderId="0" xfId="0" applyFont="1" applyFill="1" applyAlignment="1">
      <alignment vertical="top" wrapText="1"/>
    </xf>
    <xf numFmtId="0" fontId="0" fillId="0" borderId="0" xfId="0" applyAlignment="1" applyProtection="1">
      <protection hidden="1"/>
    </xf>
    <xf numFmtId="0" fontId="53" fillId="0" borderId="0" xfId="0" applyFont="1" applyAlignment="1"/>
    <xf numFmtId="0" fontId="0" fillId="6" borderId="0" xfId="0" applyFill="1" applyProtection="1">
      <protection hidden="1"/>
    </xf>
    <xf numFmtId="0" fontId="27" fillId="0" borderId="12" xfId="0" applyFont="1" applyBorder="1" applyAlignment="1">
      <alignment vertical="top" wrapText="1"/>
    </xf>
    <xf numFmtId="178" fontId="27" fillId="2" borderId="2" xfId="78" applyNumberFormat="1" applyFont="1" applyFill="1" applyBorder="1" applyAlignment="1">
      <alignment horizontal="center" vertical="top" wrapText="1"/>
    </xf>
    <xf numFmtId="1" fontId="44" fillId="0" borderId="0" xfId="0" applyNumberFormat="1" applyFont="1" applyFill="1" applyAlignment="1" applyProtection="1">
      <alignment horizontal="center" vertical="center" wrapText="1"/>
      <protection hidden="1"/>
    </xf>
    <xf numFmtId="0" fontId="60" fillId="0" borderId="0" xfId="0" applyFont="1" applyBorder="1" applyAlignment="1">
      <alignment vertical="top" wrapText="1"/>
    </xf>
    <xf numFmtId="0" fontId="42" fillId="0" borderId="0" xfId="0" applyFont="1" applyFill="1" applyAlignment="1" applyProtection="1">
      <alignment horizontal="center" vertical="center" wrapText="1"/>
      <protection hidden="1"/>
    </xf>
    <xf numFmtId="0" fontId="0" fillId="0" borderId="43" xfId="0" applyFill="1" applyBorder="1"/>
    <xf numFmtId="0" fontId="80" fillId="7" borderId="0" xfId="0" applyFont="1" applyFill="1" applyProtection="1">
      <protection hidden="1"/>
    </xf>
    <xf numFmtId="0" fontId="0" fillId="8" borderId="12" xfId="0" applyFill="1" applyBorder="1" applyAlignment="1" applyProtection="1">
      <alignment horizontal="left" vertical="center"/>
      <protection hidden="1"/>
    </xf>
    <xf numFmtId="0" fontId="0" fillId="8" borderId="12" xfId="0" applyFill="1" applyBorder="1" applyAlignment="1" applyProtection="1">
      <alignment horizontal="left" vertical="center" wrapText="1"/>
      <protection hidden="1"/>
    </xf>
    <xf numFmtId="0" fontId="0" fillId="0" borderId="0" xfId="0" applyFont="1" applyAlignment="1">
      <alignment vertical="top"/>
    </xf>
    <xf numFmtId="0" fontId="0" fillId="0" borderId="0" xfId="0" applyFont="1" applyFill="1" applyAlignment="1">
      <alignment vertical="top"/>
    </xf>
    <xf numFmtId="0" fontId="60" fillId="0" borderId="0" xfId="0" applyFont="1" applyFill="1" applyBorder="1" applyAlignment="1">
      <alignment vertical="top" wrapText="1"/>
    </xf>
    <xf numFmtId="0" fontId="0" fillId="6" borderId="0" xfId="0" applyFont="1" applyFill="1" applyAlignment="1">
      <alignment vertical="top"/>
    </xf>
    <xf numFmtId="0" fontId="0" fillId="6" borderId="0" xfId="0" applyFill="1" applyAlignment="1">
      <alignment vertical="top"/>
    </xf>
    <xf numFmtId="0" fontId="2" fillId="6" borderId="30" xfId="0" applyNumberFormat="1" applyFont="1" applyFill="1" applyBorder="1" applyAlignment="1" applyProtection="1">
      <alignment vertical="center" wrapText="1"/>
      <protection hidden="1"/>
    </xf>
    <xf numFmtId="0" fontId="69" fillId="6" borderId="0" xfId="0" applyFont="1" applyFill="1" applyAlignment="1">
      <alignment horizontal="left" vertical="center" wrapText="1"/>
    </xf>
    <xf numFmtId="0" fontId="0" fillId="6" borderId="0" xfId="0" applyFill="1"/>
    <xf numFmtId="0" fontId="0" fillId="6" borderId="0" xfId="0" applyFill="1" applyAlignment="1">
      <alignment wrapText="1"/>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0" xfId="0" applyProtection="1">
      <protection locked="0"/>
    </xf>
    <xf numFmtId="0" fontId="11" fillId="2" borderId="47" xfId="0" applyFont="1" applyFill="1" applyBorder="1" applyAlignment="1" applyProtection="1">
      <alignment horizontal="center" vertical="center" wrapText="1"/>
      <protection hidden="1"/>
    </xf>
    <xf numFmtId="0" fontId="11" fillId="2" borderId="48" xfId="0" applyFont="1" applyFill="1" applyBorder="1" applyAlignment="1" applyProtection="1">
      <alignment horizontal="center" vertical="center" wrapText="1"/>
      <protection hidden="1"/>
    </xf>
    <xf numFmtId="0" fontId="4" fillId="0" borderId="0" xfId="0" applyFont="1" applyFill="1" applyAlignment="1">
      <alignment wrapText="1"/>
    </xf>
    <xf numFmtId="0" fontId="0" fillId="0" borderId="0" xfId="0" applyAlignment="1">
      <alignment wrapText="1"/>
    </xf>
    <xf numFmtId="0" fontId="0" fillId="0" borderId="0" xfId="0" applyFont="1" applyAlignment="1">
      <alignment vertical="top" wrapText="1"/>
    </xf>
    <xf numFmtId="0" fontId="0" fillId="0" borderId="10" xfId="0" applyBorder="1" applyAlignment="1" applyProtection="1">
      <alignment horizontal="left" vertical="center"/>
      <protection locked="0"/>
    </xf>
    <xf numFmtId="0" fontId="32"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9"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51" fillId="2" borderId="50" xfId="0" applyFont="1" applyFill="1" applyBorder="1" applyAlignment="1" applyProtection="1">
      <alignment horizontal="center" vertical="center" wrapText="1"/>
      <protection hidden="1"/>
    </xf>
    <xf numFmtId="0" fontId="51" fillId="0" borderId="51" xfId="0" applyFont="1" applyBorder="1" applyAlignment="1" applyProtection="1">
      <alignment horizontal="center" vertical="center" wrapText="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52" xfId="0" applyFill="1" applyBorder="1" applyAlignment="1" applyProtection="1">
      <alignment wrapText="1"/>
    </xf>
    <xf numFmtId="0" fontId="0" fillId="0" borderId="12" xfId="0" applyFont="1" applyBorder="1" applyProtection="1">
      <protection locked="0"/>
    </xf>
    <xf numFmtId="0" fontId="0" fillId="0" borderId="53" xfId="0" applyFont="1" applyBorder="1" applyProtection="1">
      <protection locked="0"/>
    </xf>
    <xf numFmtId="0" fontId="0" fillId="2" borderId="2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hidden="1"/>
    </xf>
    <xf numFmtId="0" fontId="0" fillId="0" borderId="0" xfId="0" applyAlignment="1">
      <alignment vertical="top" wrapText="1"/>
    </xf>
    <xf numFmtId="0" fontId="0" fillId="6" borderId="0" xfId="0" applyFont="1" applyFill="1" applyAlignment="1">
      <alignment vertical="top" wrapText="1"/>
    </xf>
    <xf numFmtId="0" fontId="79" fillId="6" borderId="0" xfId="0" applyFont="1" applyFill="1" applyAlignment="1">
      <alignment vertical="top" wrapText="1"/>
    </xf>
    <xf numFmtId="0" fontId="4" fillId="0" borderId="0" xfId="0" applyFont="1" applyFill="1" applyAlignment="1" applyProtection="1">
      <alignment horizontal="left" vertical="center"/>
    </xf>
    <xf numFmtId="0" fontId="4" fillId="0" borderId="0" xfId="0" applyFont="1" applyFill="1" applyProtection="1">
      <protection hidden="1"/>
    </xf>
    <xf numFmtId="0" fontId="4" fillId="0" borderId="0" xfId="0" applyFont="1" applyFill="1" applyAlignment="1">
      <alignment horizontal="center" wrapText="1"/>
    </xf>
    <xf numFmtId="0" fontId="4" fillId="0" borderId="0" xfId="0" applyFont="1" applyFill="1" applyAlignment="1" applyProtection="1">
      <alignment wrapText="1"/>
      <protection hidden="1"/>
    </xf>
    <xf numFmtId="0" fontId="4" fillId="0" borderId="0" xfId="0" applyNumberFormat="1" applyFont="1" applyFill="1" applyBorder="1" applyAlignment="1">
      <alignment horizontal="left"/>
    </xf>
    <xf numFmtId="0" fontId="4" fillId="0" borderId="0" xfId="0" applyFont="1" applyFill="1" applyBorder="1" applyAlignment="1" applyProtection="1">
      <alignment horizontal="left"/>
      <protection locked="0"/>
    </xf>
    <xf numFmtId="0" fontId="4" fillId="0" borderId="0" xfId="0" applyFont="1" applyFill="1" applyAlignment="1">
      <alignment horizontal="left"/>
    </xf>
    <xf numFmtId="176" fontId="27" fillId="0" borderId="10" xfId="78" applyNumberFormat="1" applyFont="1" applyFill="1" applyBorder="1" applyAlignment="1">
      <alignment horizontal="center" vertical="top" wrapText="1"/>
    </xf>
    <xf numFmtId="176" fontId="27" fillId="0" borderId="11" xfId="78" applyNumberFormat="1" applyFont="1" applyFill="1" applyBorder="1" applyAlignment="1">
      <alignment horizontal="center" vertical="top" wrapText="1"/>
    </xf>
    <xf numFmtId="176" fontId="27" fillId="0" borderId="2" xfId="78" applyNumberFormat="1" applyFont="1" applyFill="1" applyBorder="1" applyAlignment="1">
      <alignment horizontal="center" vertical="top" wrapText="1"/>
    </xf>
    <xf numFmtId="0" fontId="28" fillId="2" borderId="10" xfId="78" applyFont="1" applyFill="1" applyBorder="1" applyAlignment="1">
      <alignment horizontal="left" vertical="top" wrapText="1"/>
    </xf>
    <xf numFmtId="0" fontId="28" fillId="2" borderId="11" xfId="78" applyFont="1" applyFill="1" applyBorder="1" applyAlignment="1">
      <alignment horizontal="left" vertical="top" wrapText="1"/>
    </xf>
    <xf numFmtId="0" fontId="28" fillId="2" borderId="2" xfId="78"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4" fillId="2" borderId="43" xfId="0" applyFont="1" applyFill="1" applyBorder="1" applyAlignment="1">
      <alignment horizontal="center"/>
    </xf>
    <xf numFmtId="0" fontId="9"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7" fillId="2" borderId="10" xfId="78" applyFont="1" applyFill="1" applyBorder="1" applyAlignment="1">
      <alignment horizontal="center" vertical="top" wrapText="1"/>
    </xf>
    <xf numFmtId="0" fontId="27" fillId="2" borderId="11" xfId="78" applyFont="1" applyFill="1" applyBorder="1" applyAlignment="1">
      <alignment horizontal="center" vertical="top" wrapText="1"/>
    </xf>
    <xf numFmtId="0" fontId="27" fillId="2" borderId="2" xfId="78" applyFont="1" applyFill="1" applyBorder="1" applyAlignment="1">
      <alignment horizontal="center" vertical="top" wrapText="1"/>
    </xf>
    <xf numFmtId="0" fontId="27" fillId="2" borderId="10" xfId="78" applyFont="1" applyFill="1" applyBorder="1" applyAlignment="1">
      <alignment horizontal="left" vertical="top" wrapText="1"/>
    </xf>
    <xf numFmtId="0" fontId="27" fillId="2" borderId="11" xfId="78" applyFont="1" applyFill="1" applyBorder="1" applyAlignment="1">
      <alignment horizontal="left" vertical="top" wrapText="1"/>
    </xf>
    <xf numFmtId="0" fontId="27" fillId="2" borderId="2" xfId="78" applyFont="1" applyFill="1" applyBorder="1" applyAlignment="1">
      <alignment horizontal="left" vertical="top" wrapText="1"/>
    </xf>
    <xf numFmtId="176" fontId="27" fillId="2" borderId="10" xfId="78" applyNumberFormat="1" applyFont="1" applyFill="1" applyBorder="1" applyAlignment="1">
      <alignment horizontal="center" vertical="top" wrapText="1"/>
    </xf>
    <xf numFmtId="176" fontId="27" fillId="2" borderId="11" xfId="78" applyNumberFormat="1" applyFont="1" applyFill="1" applyBorder="1" applyAlignment="1">
      <alignment horizontal="center" vertical="top" wrapText="1"/>
    </xf>
    <xf numFmtId="176" fontId="27" fillId="2" borderId="2" xfId="78" applyNumberFormat="1" applyFont="1" applyFill="1" applyBorder="1" applyAlignment="1">
      <alignment horizontal="center" vertical="top" wrapText="1"/>
    </xf>
    <xf numFmtId="2" fontId="27" fillId="2" borderId="10" xfId="78" applyNumberFormat="1" applyFont="1" applyFill="1" applyBorder="1" applyAlignment="1">
      <alignment horizontal="center" vertical="top" wrapText="1"/>
    </xf>
    <xf numFmtId="2" fontId="27" fillId="2" borderId="11" xfId="78" applyNumberFormat="1" applyFont="1" applyFill="1" applyBorder="1" applyAlignment="1">
      <alignment horizontal="center" vertical="top" wrapText="1"/>
    </xf>
    <xf numFmtId="2" fontId="27" fillId="2" borderId="2" xfId="78" applyNumberFormat="1" applyFont="1" applyFill="1" applyBorder="1" applyAlignment="1">
      <alignment horizontal="center" vertical="top" wrapText="1"/>
    </xf>
    <xf numFmtId="0" fontId="27" fillId="0" borderId="10" xfId="78" applyFont="1" applyFill="1" applyBorder="1" applyAlignment="1">
      <alignment horizontal="center" vertical="top" wrapText="1"/>
    </xf>
    <xf numFmtId="0" fontId="27" fillId="0" borderId="11" xfId="78" applyFont="1" applyFill="1" applyBorder="1" applyAlignment="1">
      <alignment horizontal="center" vertical="top" wrapText="1"/>
    </xf>
    <xf numFmtId="0" fontId="27" fillId="0" borderId="2" xfId="78"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21"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20" xfId="0" applyFont="1" applyFill="1" applyBorder="1" applyAlignment="1" applyProtection="1">
      <alignment horizontal="left" wrapText="1"/>
      <protection hidden="1"/>
    </xf>
    <xf numFmtId="0" fontId="15" fillId="2" borderId="55"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11" fillId="2" borderId="55"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81" fillId="0" borderId="56" xfId="0" applyNumberFormat="1" applyFont="1" applyBorder="1" applyAlignment="1" applyProtection="1">
      <alignment horizontal="left"/>
      <protection locked="0"/>
    </xf>
    <xf numFmtId="0" fontId="81" fillId="0" borderId="57" xfId="0" applyNumberFormat="1" applyFont="1" applyBorder="1" applyAlignment="1" applyProtection="1">
      <alignment horizontal="left"/>
      <protection locked="0"/>
    </xf>
    <xf numFmtId="0" fontId="81" fillId="0" borderId="13" xfId="0" applyNumberFormat="1" applyFont="1" applyBorder="1" applyAlignment="1" applyProtection="1">
      <alignment horizontal="left"/>
      <protection locked="0"/>
    </xf>
    <xf numFmtId="177" fontId="14" fillId="2" borderId="27" xfId="0" applyNumberFormat="1" applyFont="1" applyFill="1" applyBorder="1" applyAlignment="1" applyProtection="1">
      <alignment horizontal="center" wrapText="1"/>
      <protection locked="0"/>
    </xf>
    <xf numFmtId="177" fontId="14" fillId="2" borderId="29" xfId="0" applyNumberFormat="1" applyFont="1" applyFill="1" applyBorder="1" applyAlignment="1" applyProtection="1">
      <alignment horizontal="center" wrapText="1"/>
      <protection locked="0"/>
    </xf>
    <xf numFmtId="0" fontId="14" fillId="2" borderId="20" xfId="0" applyFont="1" applyFill="1" applyBorder="1" applyAlignment="1" applyProtection="1">
      <alignment horizontal="center" wrapText="1"/>
      <protection hidden="1"/>
    </xf>
    <xf numFmtId="0" fontId="14" fillId="2" borderId="1" xfId="0" applyFont="1" applyFill="1" applyBorder="1" applyAlignment="1" applyProtection="1">
      <alignment horizontal="left" wrapText="1"/>
      <protection hidden="1"/>
    </xf>
    <xf numFmtId="0" fontId="81" fillId="2" borderId="55" xfId="89" applyFont="1" applyFill="1" applyBorder="1" applyAlignment="1" applyProtection="1">
      <alignment horizontal="left" vertical="center"/>
      <protection locked="0" hidden="1"/>
    </xf>
    <xf numFmtId="0" fontId="81" fillId="2" borderId="1" xfId="89" applyFont="1" applyFill="1" applyBorder="1" applyAlignment="1" applyProtection="1">
      <alignment horizontal="left" vertical="center"/>
      <protection locked="0" hidden="1"/>
    </xf>
    <xf numFmtId="0" fontId="81" fillId="2" borderId="33" xfId="89" applyFont="1" applyFill="1" applyBorder="1" applyAlignment="1" applyProtection="1">
      <alignment horizontal="left" vertical="center"/>
      <protection locked="0" hidden="1"/>
    </xf>
    <xf numFmtId="0" fontId="14" fillId="2" borderId="20" xfId="0" applyFont="1" applyFill="1" applyBorder="1" applyAlignment="1" applyProtection="1">
      <alignment horizontal="center" vertical="top" wrapText="1"/>
      <protection hidden="1"/>
    </xf>
    <xf numFmtId="0" fontId="14" fillId="2" borderId="38" xfId="0" applyFont="1" applyFill="1" applyBorder="1" applyAlignment="1" applyProtection="1">
      <alignment horizontal="right" vertical="center"/>
      <protection hidden="1"/>
    </xf>
    <xf numFmtId="0" fontId="14" fillId="2" borderId="22"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5"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3" xfId="0" applyFont="1" applyFill="1" applyBorder="1" applyAlignment="1" applyProtection="1">
      <alignment horizontal="center" vertical="center"/>
      <protection hidden="1"/>
    </xf>
    <xf numFmtId="0" fontId="15" fillId="2" borderId="27"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55"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3"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center" vertical="center" wrapText="1"/>
      <protection hidden="1"/>
    </xf>
    <xf numFmtId="0" fontId="15" fillId="2" borderId="58"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protection locked="0"/>
    </xf>
    <xf numFmtId="0" fontId="26" fillId="0" borderId="21" xfId="89" applyFont="1" applyFill="1" applyBorder="1" applyAlignment="1" applyProtection="1">
      <alignment horizontal="center" vertical="center" wrapText="1"/>
      <protection hidden="1"/>
    </xf>
    <xf numFmtId="0" fontId="26" fillId="2" borderId="0" xfId="89" applyFont="1" applyFill="1" applyBorder="1" applyAlignment="1" applyProtection="1">
      <alignment horizontal="center" vertical="center" wrapText="1"/>
      <protection hidden="1"/>
    </xf>
    <xf numFmtId="0" fontId="82" fillId="0" borderId="27" xfId="89" applyFont="1" applyFill="1" applyBorder="1" applyAlignment="1" applyProtection="1">
      <alignment horizontal="left" vertical="center"/>
      <protection hidden="1"/>
    </xf>
    <xf numFmtId="0" fontId="82" fillId="0" borderId="20" xfId="89" applyFont="1" applyFill="1" applyBorder="1" applyAlignment="1" applyProtection="1">
      <alignment horizontal="left" vertical="center"/>
      <protection hidden="1"/>
    </xf>
    <xf numFmtId="0" fontId="82" fillId="0" borderId="29" xfId="89" applyFont="1" applyFill="1" applyBorder="1" applyAlignment="1" applyProtection="1">
      <alignment horizontal="left" vertical="center"/>
      <protection hidden="1"/>
    </xf>
    <xf numFmtId="0" fontId="15" fillId="2" borderId="1" xfId="0" applyFont="1" applyFill="1" applyBorder="1" applyAlignment="1" applyProtection="1">
      <alignment horizontal="center" vertical="center"/>
    </xf>
    <xf numFmtId="0" fontId="22" fillId="0" borderId="20" xfId="89"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20" xfId="0" applyFont="1" applyFill="1" applyBorder="1" applyAlignment="1" applyProtection="1">
      <alignment horizontal="center" wrapText="1"/>
      <protection hidden="1"/>
    </xf>
    <xf numFmtId="0" fontId="83" fillId="2" borderId="55" xfId="89" applyFont="1" applyFill="1" applyBorder="1" applyAlignment="1" applyProtection="1">
      <alignment horizontal="left" vertical="center" wrapText="1"/>
      <protection locked="0"/>
    </xf>
    <xf numFmtId="0" fontId="84" fillId="2" borderId="1" xfId="0" applyFont="1" applyFill="1" applyBorder="1" applyAlignment="1" applyProtection="1">
      <alignment horizontal="left" vertical="center" wrapText="1"/>
      <protection locked="0"/>
    </xf>
    <xf numFmtId="0" fontId="84" fillId="2" borderId="33" xfId="0" applyFont="1" applyFill="1" applyBorder="1" applyAlignment="1" applyProtection="1">
      <alignment horizontal="left" vertical="center" wrapText="1"/>
      <protection locked="0"/>
    </xf>
    <xf numFmtId="0" fontId="24" fillId="0" borderId="20" xfId="89" applyFont="1" applyFill="1" applyBorder="1" applyAlignment="1" applyProtection="1">
      <alignment horizontal="center"/>
      <protection hidden="1"/>
    </xf>
    <xf numFmtId="0" fontId="17" fillId="2" borderId="25" xfId="0" applyFont="1" applyFill="1" applyBorder="1" applyAlignment="1" applyProtection="1">
      <alignment horizontal="center" vertical="center"/>
      <protection hidden="1"/>
    </xf>
    <xf numFmtId="0" fontId="17" fillId="2" borderId="43"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26" fillId="0" borderId="0" xfId="89" applyFont="1" applyFill="1" applyBorder="1" applyAlignment="1" applyProtection="1">
      <alignment horizontal="center" vertical="center" wrapText="1"/>
      <protection hidden="1"/>
    </xf>
    <xf numFmtId="0" fontId="52" fillId="2" borderId="34" xfId="89" applyFont="1" applyFill="1" applyBorder="1" applyAlignment="1" applyProtection="1">
      <alignment horizontal="center" vertical="center"/>
      <protection hidden="1"/>
    </xf>
    <xf numFmtId="0" fontId="52" fillId="2" borderId="0" xfId="89" applyFont="1" applyFill="1" applyBorder="1" applyAlignment="1" applyProtection="1">
      <alignment horizontal="center" vertical="center"/>
      <protection hidden="1"/>
    </xf>
    <xf numFmtId="0" fontId="51" fillId="0" borderId="59" xfId="0" applyFont="1" applyBorder="1" applyAlignment="1" applyProtection="1">
      <alignment horizontal="center" vertical="center" wrapText="1"/>
      <protection hidden="1"/>
    </xf>
    <xf numFmtId="0" fontId="51" fillId="0" borderId="54" xfId="0" applyFont="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2" fillId="2" borderId="0" xfId="89"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60"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cellXfs>
  <cellStyles count="95">
    <cellStyle name="Bad 2" xfId="1"/>
    <cellStyle name="Excel Built-in Normal" xfId="2"/>
    <cellStyle name="Hyperlink 2" xfId="3"/>
    <cellStyle name="Hyperlink 3" xfId="4"/>
    <cellStyle name="Hyperlink 4" xfId="5"/>
    <cellStyle name="Hyperlink 5" xfId="6"/>
    <cellStyle name="Hyperlink 5 2" xfId="7"/>
    <cellStyle name="Hyperlink 6" xfId="8"/>
    <cellStyle name="Hyperlink 7" xfId="9"/>
    <cellStyle name="Normal 10" xfId="10"/>
    <cellStyle name="Normal 100" xfId="11"/>
    <cellStyle name="Normal 118" xfId="12"/>
    <cellStyle name="Normal 12" xfId="13"/>
    <cellStyle name="Normal 13" xfId="14"/>
    <cellStyle name="Normal 13 2" xfId="15"/>
    <cellStyle name="Normal 13 2 2" xfId="16"/>
    <cellStyle name="Normal 13 2 2 2" xfId="17"/>
    <cellStyle name="Normal 13 2 3" xfId="18"/>
    <cellStyle name="Normal 13 3" xfId="19"/>
    <cellStyle name="Normal 13 3 2" xfId="20"/>
    <cellStyle name="Normal 13 4" xfId="21"/>
    <cellStyle name="Normal 15" xfId="22"/>
    <cellStyle name="Normal 16" xfId="23"/>
    <cellStyle name="Normal 17" xfId="24"/>
    <cellStyle name="Normal 19" xfId="25"/>
    <cellStyle name="Normal 2" xfId="26"/>
    <cellStyle name="Normal 2 2" xfId="27"/>
    <cellStyle name="Normal 2 2 2" xfId="28"/>
    <cellStyle name="Normal 2 2 3" xfId="29"/>
    <cellStyle name="Normal 2 3" xfId="30"/>
    <cellStyle name="Normal 2 3 2" xfId="31"/>
    <cellStyle name="Normal 2 4" xfId="32"/>
    <cellStyle name="Normal 2 4 2" xfId="33"/>
    <cellStyle name="Normal 2 5" xfId="34"/>
    <cellStyle name="Normal 23" xfId="35"/>
    <cellStyle name="Normal 3" xfId="36"/>
    <cellStyle name="Normal 3 2" xfId="37"/>
    <cellStyle name="Normal 3 2 11" xfId="38"/>
    <cellStyle name="Normal 3 3" xfId="39"/>
    <cellStyle name="Normal 3 4" xfId="40"/>
    <cellStyle name="Normal 3 8" xfId="41"/>
    <cellStyle name="Normal 3 8 2" xfId="42"/>
    <cellStyle name="Normal 3 8 2 2" xfId="43"/>
    <cellStyle name="Normal 3 8 3" xfId="44"/>
    <cellStyle name="Normal 4" xfId="45"/>
    <cellStyle name="Normal 4 2" xfId="46"/>
    <cellStyle name="Normal 4 3" xfId="47"/>
    <cellStyle name="Normal 4 4" xfId="48"/>
    <cellStyle name="Normal 416" xfId="49"/>
    <cellStyle name="Normal 417" xfId="50"/>
    <cellStyle name="Normal 428" xfId="51"/>
    <cellStyle name="Normal 429" xfId="52"/>
    <cellStyle name="Normal 486" xfId="53"/>
    <cellStyle name="Normal 487" xfId="54"/>
    <cellStyle name="Normal 489" xfId="55"/>
    <cellStyle name="Normal 490" xfId="56"/>
    <cellStyle name="Normal 5" xfId="57"/>
    <cellStyle name="Normal 5 2" xfId="58"/>
    <cellStyle name="Normal 5 3" xfId="59"/>
    <cellStyle name="Normal 506" xfId="60"/>
    <cellStyle name="Normal 516" xfId="61"/>
    <cellStyle name="Normal 517" xfId="62"/>
    <cellStyle name="Normal 53" xfId="63"/>
    <cellStyle name="Normal 54" xfId="64"/>
    <cellStyle name="Normal 542" xfId="65"/>
    <cellStyle name="Normal 543" xfId="66"/>
    <cellStyle name="Normal 544" xfId="67"/>
    <cellStyle name="Normal 547" xfId="68"/>
    <cellStyle name="Normal 548" xfId="69"/>
    <cellStyle name="Normal 550" xfId="70"/>
    <cellStyle name="Normal 571" xfId="71"/>
    <cellStyle name="Normal 572" xfId="72"/>
    <cellStyle name="Normal 6" xfId="73"/>
    <cellStyle name="Normal 6 2" xfId="74"/>
    <cellStyle name="Normal 6 3" xfId="75"/>
    <cellStyle name="Normal 7" xfId="76"/>
    <cellStyle name="Normal 7 2" xfId="77"/>
    <cellStyle name="Normal_Sheet1" xfId="78"/>
    <cellStyle name="Standard 3" xfId="79"/>
    <cellStyle name="Standard 4" xfId="80"/>
    <cellStyle name="Standard 4 2" xfId="81"/>
    <cellStyle name="Standard 4 2 2" xfId="82"/>
    <cellStyle name="Standard 4 2 2 2" xfId="83"/>
    <cellStyle name="Standard 4 2 3" xfId="84"/>
    <cellStyle name="Standard 4 3" xfId="85"/>
    <cellStyle name="Standard 4 3 2" xfId="86"/>
    <cellStyle name="Standard 4 4" xfId="87"/>
    <cellStyle name="Standard 6" xfId="88"/>
    <cellStyle name="標準 2" xfId="91"/>
    <cellStyle name="標準 2 2" xfId="92"/>
    <cellStyle name="標準 2 3" xfId="93"/>
    <cellStyle name="常规" xfId="0" builtinId="0"/>
    <cellStyle name="超链接" xfId="89" builtinId="8"/>
    <cellStyle name="一般 7" xfId="90"/>
    <cellStyle name="표준 2" xfId="94"/>
  </cellStyles>
  <dxfs count="98">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rgb="FF92D050"/>
        </patternFill>
      </fill>
    </dxf>
    <dxf>
      <font>
        <color theme="0" tint="-0.24994659260841701"/>
      </font>
      <fill>
        <patternFill patternType="none">
          <bgColor indexed="65"/>
        </patternFill>
      </fill>
    </dxf>
    <dxf>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indexed="13"/>
        </patternFill>
      </fill>
    </dxf>
    <dxf>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3286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104775</xdr:rowOff>
    </xdr:from>
    <xdr:to>
      <xdr:col>0</xdr:col>
      <xdr:colOff>9305925</xdr:colOff>
      <xdr:row>0</xdr:row>
      <xdr:rowOff>1352550</xdr:rowOff>
    </xdr:to>
    <xdr:pic>
      <xdr:nvPicPr>
        <xdr:cNvPr id="99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104775"/>
          <a:ext cx="11620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847725</xdr:rowOff>
    </xdr:to>
    <xdr:pic>
      <xdr:nvPicPr>
        <xdr:cNvPr id="1202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4886"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257175</xdr:colOff>
      <xdr:row>2</xdr:row>
      <xdr:rowOff>600075</xdr:rowOff>
    </xdr:to>
    <xdr:pic>
      <xdr:nvPicPr>
        <xdr:cNvPr id="21638"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4650"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14</xdr:col>
      <xdr:colOff>57150</xdr:colOff>
      <xdr:row>3</xdr:row>
      <xdr:rowOff>38100</xdr:rowOff>
    </xdr:to>
    <xdr:pic>
      <xdr:nvPicPr>
        <xdr:cNvPr id="691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23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33885"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3"/>
  <sheetViews>
    <sheetView showGridLines="0" topLeftCell="A2" zoomScaleNormal="100" workbookViewId="0">
      <pane xSplit="1" ySplit="11" topLeftCell="B49" activePane="bottomRight" state="frozen"/>
      <selection activeCell="A2" sqref="A2"/>
      <selection pane="topRight" activeCell="B2" sqref="B2"/>
      <selection pane="bottomLeft" activeCell="A13" sqref="A13"/>
      <selection pane="bottomRight" activeCell="B13" sqref="B13"/>
    </sheetView>
  </sheetViews>
  <sheetFormatPr defaultRowHeight="12.75"/>
  <cols>
    <col min="1" max="1" width="0.875" style="134" customWidth="1"/>
    <col min="2" max="2" width="6.875" style="134" customWidth="1"/>
    <col min="3" max="3" width="8.5" style="134" customWidth="1"/>
    <col min="4" max="4" width="6.75" style="134" customWidth="1"/>
    <col min="5" max="5" width="42.375" style="134" customWidth="1"/>
    <col min="6" max="6" width="53.375" style="134" customWidth="1"/>
    <col min="7" max="7" width="0.875" style="134" customWidth="1"/>
    <col min="8" max="16384" width="9" style="134"/>
  </cols>
  <sheetData>
    <row r="1" spans="1:7" ht="13.5" thickTop="1">
      <c r="A1" s="9"/>
      <c r="B1" s="10"/>
      <c r="C1" s="10"/>
      <c r="D1" s="10"/>
      <c r="E1" s="10"/>
      <c r="F1" s="10"/>
      <c r="G1" s="11"/>
    </row>
    <row r="2" spans="1:7">
      <c r="A2" s="310"/>
      <c r="B2" s="38" t="s">
        <v>1620</v>
      </c>
      <c r="C2" s="36"/>
      <c r="D2" s="36"/>
      <c r="E2" s="3"/>
      <c r="F2" s="36"/>
      <c r="G2" s="34"/>
    </row>
    <row r="3" spans="1:7">
      <c r="A3" s="310"/>
      <c r="B3" s="5" t="s">
        <v>1608</v>
      </c>
      <c r="C3" s="6"/>
      <c r="D3" s="6"/>
      <c r="E3" s="3"/>
      <c r="F3" s="6"/>
      <c r="G3" s="34"/>
    </row>
    <row r="4" spans="1:7" ht="15.75">
      <c r="A4" s="310"/>
      <c r="B4" s="41" t="s">
        <v>1622</v>
      </c>
      <c r="C4" s="7"/>
      <c r="D4" s="7"/>
      <c r="E4" s="3"/>
      <c r="F4" s="7"/>
      <c r="G4" s="34"/>
    </row>
    <row r="5" spans="1:7">
      <c r="A5" s="310"/>
      <c r="B5" s="40" t="s">
        <v>2071</v>
      </c>
      <c r="C5" s="4"/>
      <c r="D5" s="4"/>
      <c r="E5" s="3"/>
      <c r="F5" s="4"/>
      <c r="G5" s="34"/>
    </row>
    <row r="6" spans="1:7">
      <c r="A6" s="310"/>
      <c r="B6" s="8"/>
      <c r="C6" s="8"/>
      <c r="D6" s="8"/>
      <c r="E6" s="8"/>
      <c r="F6" s="8"/>
      <c r="G6" s="34"/>
    </row>
    <row r="7" spans="1:7">
      <c r="A7" s="310"/>
      <c r="B7" s="8"/>
      <c r="C7" s="8"/>
      <c r="D7" s="8"/>
      <c r="E7" s="8"/>
      <c r="F7" s="8"/>
      <c r="G7" s="34"/>
    </row>
    <row r="8" spans="1:7">
      <c r="A8" s="310"/>
      <c r="B8" s="8"/>
      <c r="C8" s="8"/>
      <c r="D8" s="8"/>
      <c r="E8" s="8"/>
      <c r="F8" s="8"/>
      <c r="G8" s="34"/>
    </row>
    <row r="9" spans="1:7">
      <c r="A9" s="310"/>
      <c r="B9" s="313" t="s">
        <v>1623</v>
      </c>
      <c r="C9" s="313"/>
      <c r="D9" s="313"/>
      <c r="E9" s="313"/>
      <c r="F9" s="313"/>
      <c r="G9" s="34"/>
    </row>
    <row r="10" spans="1:7" ht="27" customHeight="1">
      <c r="A10" s="310"/>
      <c r="B10" s="314" t="s">
        <v>941</v>
      </c>
      <c r="C10" s="314"/>
      <c r="D10" s="314"/>
      <c r="E10" s="314"/>
      <c r="F10" s="314"/>
      <c r="G10" s="34"/>
    </row>
    <row r="11" spans="1:7" ht="27" customHeight="1">
      <c r="A11" s="310"/>
      <c r="B11" s="315"/>
      <c r="C11" s="315"/>
      <c r="D11" s="315"/>
      <c r="E11" s="315"/>
      <c r="F11" s="315"/>
      <c r="G11" s="34"/>
    </row>
    <row r="12" spans="1:7" ht="16.5">
      <c r="A12" s="310"/>
      <c r="B12" s="46" t="s">
        <v>1621</v>
      </c>
      <c r="C12" s="47" t="s">
        <v>1624</v>
      </c>
      <c r="D12" s="48" t="s">
        <v>1625</v>
      </c>
      <c r="E12" s="47" t="s">
        <v>1261</v>
      </c>
      <c r="F12" s="47" t="s">
        <v>1262</v>
      </c>
      <c r="G12" s="34"/>
    </row>
    <row r="13" spans="1:7" ht="33.75">
      <c r="A13" s="310"/>
      <c r="B13" s="2">
        <v>1</v>
      </c>
      <c r="C13" s="37" t="s">
        <v>2151</v>
      </c>
      <c r="D13" s="39" t="s">
        <v>1659</v>
      </c>
      <c r="E13" s="43" t="s">
        <v>1626</v>
      </c>
      <c r="F13" s="43"/>
      <c r="G13" s="34"/>
    </row>
    <row r="14" spans="1:7" ht="33.75">
      <c r="A14" s="310"/>
      <c r="B14" s="2">
        <v>2</v>
      </c>
      <c r="C14" s="37" t="s">
        <v>2151</v>
      </c>
      <c r="D14" s="39" t="s">
        <v>2049</v>
      </c>
      <c r="E14" s="43" t="s">
        <v>1048</v>
      </c>
      <c r="F14" s="43" t="s">
        <v>1049</v>
      </c>
      <c r="G14" s="34"/>
    </row>
    <row r="15" spans="1:7" ht="88.9" customHeight="1">
      <c r="A15" s="310"/>
      <c r="B15" s="316">
        <v>2.0099999999999998</v>
      </c>
      <c r="C15" s="319" t="s">
        <v>2151</v>
      </c>
      <c r="D15" s="322" t="s">
        <v>4604</v>
      </c>
      <c r="E15" s="44" t="s">
        <v>1263</v>
      </c>
      <c r="F15" s="44" t="s">
        <v>1266</v>
      </c>
      <c r="G15" s="34"/>
    </row>
    <row r="16" spans="1:7" ht="99" customHeight="1">
      <c r="A16" s="310"/>
      <c r="B16" s="317"/>
      <c r="C16" s="320"/>
      <c r="D16" s="323"/>
      <c r="E16" s="45"/>
      <c r="F16" s="45" t="s">
        <v>1264</v>
      </c>
      <c r="G16" s="34"/>
    </row>
    <row r="17" spans="1:7" ht="63" customHeight="1">
      <c r="A17" s="310"/>
      <c r="B17" s="318"/>
      <c r="C17" s="321"/>
      <c r="D17" s="324"/>
      <c r="E17" s="42"/>
      <c r="F17" s="42" t="s">
        <v>1265</v>
      </c>
      <c r="G17" s="34"/>
    </row>
    <row r="18" spans="1:7" ht="117" customHeight="1">
      <c r="A18" s="310"/>
      <c r="B18" s="316">
        <v>2.02</v>
      </c>
      <c r="C18" s="319" t="s">
        <v>2151</v>
      </c>
      <c r="D18" s="322" t="s">
        <v>4605</v>
      </c>
      <c r="E18" s="44" t="s">
        <v>942</v>
      </c>
      <c r="F18" s="44" t="s">
        <v>1042</v>
      </c>
      <c r="G18" s="34"/>
    </row>
    <row r="19" spans="1:7" ht="70.900000000000006" customHeight="1">
      <c r="A19" s="310"/>
      <c r="B19" s="317"/>
      <c r="C19" s="320"/>
      <c r="D19" s="323"/>
      <c r="E19" s="45" t="s">
        <v>1047</v>
      </c>
      <c r="F19" s="45" t="s">
        <v>943</v>
      </c>
      <c r="G19" s="34"/>
    </row>
    <row r="20" spans="1:7" ht="90.75" customHeight="1">
      <c r="A20" s="310"/>
      <c r="B20" s="317"/>
      <c r="C20" s="320"/>
      <c r="D20" s="323"/>
      <c r="E20" s="45"/>
      <c r="F20" s="45" t="s">
        <v>1268</v>
      </c>
      <c r="G20" s="34"/>
    </row>
    <row r="21" spans="1:7" ht="74.25" customHeight="1">
      <c r="A21" s="310"/>
      <c r="B21" s="318"/>
      <c r="C21" s="321"/>
      <c r="D21" s="324"/>
      <c r="E21" s="42"/>
      <c r="F21" s="42" t="s">
        <v>1267</v>
      </c>
      <c r="G21" s="34"/>
    </row>
    <row r="22" spans="1:7" ht="90" customHeight="1">
      <c r="A22" s="310"/>
      <c r="B22" s="328">
        <v>2.0299999999999998</v>
      </c>
      <c r="C22" s="328" t="s">
        <v>1579</v>
      </c>
      <c r="D22" s="304" t="s">
        <v>4606</v>
      </c>
      <c r="E22" s="307" t="s">
        <v>940</v>
      </c>
      <c r="F22" s="44" t="s">
        <v>967</v>
      </c>
      <c r="G22" s="34"/>
    </row>
    <row r="23" spans="1:7" ht="109.5" customHeight="1">
      <c r="A23" s="310"/>
      <c r="B23" s="329"/>
      <c r="C23" s="329"/>
      <c r="D23" s="305"/>
      <c r="E23" s="308"/>
      <c r="F23" s="45" t="s">
        <v>1580</v>
      </c>
      <c r="G23" s="34"/>
    </row>
    <row r="24" spans="1:7" ht="74.25" customHeight="1">
      <c r="A24" s="310"/>
      <c r="B24" s="330"/>
      <c r="C24" s="330"/>
      <c r="D24" s="306"/>
      <c r="E24" s="309"/>
      <c r="F24" s="42" t="s">
        <v>939</v>
      </c>
      <c r="G24" s="34"/>
    </row>
    <row r="25" spans="1:7" ht="72" customHeight="1">
      <c r="A25" s="310"/>
      <c r="B25" s="2" t="s">
        <v>965</v>
      </c>
      <c r="C25" s="37" t="s">
        <v>966</v>
      </c>
      <c r="D25" s="39" t="s">
        <v>4607</v>
      </c>
      <c r="E25" s="42" t="s">
        <v>4596</v>
      </c>
      <c r="F25" s="42" t="s">
        <v>968</v>
      </c>
      <c r="G25" s="34"/>
    </row>
    <row r="26" spans="1:7" ht="97.9" customHeight="1">
      <c r="A26" s="310"/>
      <c r="B26" s="325">
        <v>3</v>
      </c>
      <c r="C26" s="316" t="s">
        <v>109</v>
      </c>
      <c r="D26" s="322" t="s">
        <v>4608</v>
      </c>
      <c r="E26" s="307" t="s">
        <v>0</v>
      </c>
      <c r="F26" s="44" t="s">
        <v>103</v>
      </c>
      <c r="G26" s="34"/>
    </row>
    <row r="27" spans="1:7" ht="90" customHeight="1">
      <c r="A27" s="310"/>
      <c r="B27" s="326"/>
      <c r="C27" s="317"/>
      <c r="D27" s="323"/>
      <c r="E27" s="308"/>
      <c r="F27" s="45" t="s">
        <v>98</v>
      </c>
      <c r="G27" s="34"/>
    </row>
    <row r="28" spans="1:7" ht="19.149999999999999" customHeight="1">
      <c r="A28" s="310"/>
      <c r="B28" s="326"/>
      <c r="C28" s="317"/>
      <c r="D28" s="323"/>
      <c r="E28" s="308"/>
      <c r="F28" s="45" t="s">
        <v>99</v>
      </c>
      <c r="G28" s="34"/>
    </row>
    <row r="29" spans="1:7" ht="74.45" customHeight="1">
      <c r="A29" s="310"/>
      <c r="B29" s="326"/>
      <c r="C29" s="317"/>
      <c r="D29" s="323"/>
      <c r="E29" s="308"/>
      <c r="F29" s="45" t="s">
        <v>100</v>
      </c>
      <c r="G29" s="34"/>
    </row>
    <row r="30" spans="1:7" ht="62.45" customHeight="1">
      <c r="A30" s="310"/>
      <c r="B30" s="326"/>
      <c r="C30" s="317"/>
      <c r="D30" s="323"/>
      <c r="E30" s="308"/>
      <c r="F30" s="45" t="s">
        <v>101</v>
      </c>
      <c r="G30" s="34"/>
    </row>
    <row r="31" spans="1:7" ht="81" customHeight="1">
      <c r="A31" s="310"/>
      <c r="B31" s="326"/>
      <c r="C31" s="317"/>
      <c r="D31" s="323"/>
      <c r="E31" s="308"/>
      <c r="F31" s="45" t="s">
        <v>102</v>
      </c>
      <c r="G31" s="34"/>
    </row>
    <row r="32" spans="1:7" ht="48.6" customHeight="1">
      <c r="A32" s="310"/>
      <c r="B32" s="326"/>
      <c r="C32" s="317"/>
      <c r="D32" s="323"/>
      <c r="E32" s="308"/>
      <c r="F32" s="45" t="s">
        <v>105</v>
      </c>
      <c r="G32" s="34"/>
    </row>
    <row r="33" spans="1:7" ht="98.45" customHeight="1">
      <c r="A33" s="310"/>
      <c r="B33" s="326"/>
      <c r="C33" s="317"/>
      <c r="D33" s="323"/>
      <c r="E33" s="308"/>
      <c r="F33" s="45" t="s">
        <v>104</v>
      </c>
      <c r="G33" s="34"/>
    </row>
    <row r="34" spans="1:7" ht="88.9" customHeight="1">
      <c r="A34" s="310"/>
      <c r="B34" s="326"/>
      <c r="C34" s="317"/>
      <c r="D34" s="323"/>
      <c r="E34" s="308"/>
      <c r="F34" s="45" t="s">
        <v>106</v>
      </c>
      <c r="G34" s="34"/>
    </row>
    <row r="35" spans="1:7" ht="28.9" customHeight="1">
      <c r="A35" s="310"/>
      <c r="B35" s="326"/>
      <c r="C35" s="317"/>
      <c r="D35" s="323"/>
      <c r="E35" s="308"/>
      <c r="F35" s="45" t="s">
        <v>107</v>
      </c>
      <c r="G35" s="34"/>
    </row>
    <row r="36" spans="1:7" ht="115.5">
      <c r="A36" s="310"/>
      <c r="B36" s="327"/>
      <c r="C36" s="318"/>
      <c r="D36" s="324"/>
      <c r="E36" s="309"/>
      <c r="F36" s="206" t="s">
        <v>108</v>
      </c>
      <c r="G36" s="34"/>
    </row>
    <row r="37" spans="1:7" ht="112.5">
      <c r="A37" s="310"/>
      <c r="B37" s="203">
        <v>3.01</v>
      </c>
      <c r="C37" s="204" t="s">
        <v>109</v>
      </c>
      <c r="D37" s="39" t="s">
        <v>4609</v>
      </c>
      <c r="E37" s="205" t="s">
        <v>2702</v>
      </c>
      <c r="F37" s="207" t="s">
        <v>2906</v>
      </c>
      <c r="G37" s="34"/>
    </row>
    <row r="38" spans="1:7" ht="101.25">
      <c r="A38" s="310"/>
      <c r="B38" s="203">
        <v>3.02</v>
      </c>
      <c r="C38" s="204" t="s">
        <v>2761</v>
      </c>
      <c r="D38" s="39" t="s">
        <v>4610</v>
      </c>
      <c r="E38" s="205" t="s">
        <v>2785</v>
      </c>
      <c r="F38" s="207" t="s">
        <v>2907</v>
      </c>
      <c r="G38" s="34"/>
    </row>
    <row r="39" spans="1:7" ht="78">
      <c r="A39" s="310"/>
      <c r="B39" s="249">
        <v>4</v>
      </c>
      <c r="C39" s="248" t="s">
        <v>3294</v>
      </c>
      <c r="D39" s="39" t="s">
        <v>4611</v>
      </c>
      <c r="E39" s="42" t="s">
        <v>4502</v>
      </c>
      <c r="F39" s="42" t="s">
        <v>3295</v>
      </c>
      <c r="G39" s="34"/>
    </row>
    <row r="40" spans="1:7" ht="56.25">
      <c r="A40" s="310"/>
      <c r="B40" s="203">
        <v>4.01</v>
      </c>
      <c r="C40" s="248" t="s">
        <v>3294</v>
      </c>
      <c r="D40" s="39" t="s">
        <v>4613</v>
      </c>
      <c r="E40" s="42" t="s">
        <v>4536</v>
      </c>
      <c r="F40" s="42" t="s">
        <v>4542</v>
      </c>
      <c r="G40" s="34"/>
    </row>
    <row r="41" spans="1:7" ht="56.25">
      <c r="A41" s="310"/>
      <c r="B41" s="203" t="s">
        <v>4594</v>
      </c>
      <c r="C41" s="248" t="s">
        <v>3294</v>
      </c>
      <c r="D41" s="39" t="s">
        <v>4612</v>
      </c>
      <c r="E41" s="42" t="s">
        <v>4597</v>
      </c>
      <c r="F41" s="42" t="s">
        <v>4595</v>
      </c>
      <c r="G41" s="34"/>
    </row>
    <row r="42" spans="1:7" ht="13.5" thickBot="1">
      <c r="A42" s="311"/>
      <c r="B42" s="312" t="str">
        <f ca="1">OFFSET(L!$C$1,MATCH("General"&amp;"Cpy",L!$A:$A,0)-1,SL,,)</f>
        <v>© 2015 Conflict-Free Sourcing Initiative. All rights reserved.</v>
      </c>
      <c r="C42" s="312"/>
      <c r="D42" s="312"/>
      <c r="E42" s="312"/>
      <c r="F42" s="312"/>
      <c r="G42" s="35"/>
    </row>
    <row r="43" spans="1:7" ht="13.5" thickTop="1">
      <c r="A43" s="140"/>
      <c r="B43" s="141"/>
      <c r="C43" s="141"/>
      <c r="D43" s="141"/>
      <c r="E43" s="141"/>
      <c r="F43" s="141"/>
      <c r="G43" s="141"/>
    </row>
  </sheetData>
  <sheetProtection password="E815" sheet="1"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B22:B24"/>
    <mergeCell ref="C22:C24"/>
    <mergeCell ref="D22:D24"/>
    <mergeCell ref="E22:E24"/>
    <mergeCell ref="A2:A42"/>
    <mergeCell ref="B42:F42"/>
    <mergeCell ref="B9:F9"/>
    <mergeCell ref="B10:F11"/>
    <mergeCell ref="B15:B17"/>
    <mergeCell ref="C15:C17"/>
    <mergeCell ref="D15:D17"/>
    <mergeCell ref="B18:B21"/>
    <mergeCell ref="C18:C21"/>
    <mergeCell ref="D18:D21"/>
    <mergeCell ref="E26:E36"/>
    <mergeCell ref="D26:D36"/>
    <mergeCell ref="C26:C36"/>
    <mergeCell ref="B26:B36"/>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41" activePane="bottomLeft" state="frozen"/>
      <selection pane="bottomLeft" activeCell="A82" sqref="A82"/>
    </sheetView>
  </sheetViews>
  <sheetFormatPr defaultColWidth="8.75" defaultRowHeight="12.75"/>
  <cols>
    <col min="1" max="1" width="27.5" style="91" customWidth="1"/>
    <col min="2" max="2" width="20.125" style="91" bestFit="1" customWidth="1"/>
    <col min="3" max="16384" width="8.75" style="91"/>
  </cols>
  <sheetData>
    <row r="1" spans="1:2">
      <c r="A1" s="90" t="s">
        <v>2253</v>
      </c>
      <c r="B1" s="90" t="s">
        <v>1662</v>
      </c>
    </row>
    <row r="2" spans="1:2">
      <c r="A2" s="92" t="s">
        <v>2257</v>
      </c>
      <c r="B2" s="92" t="s">
        <v>1666</v>
      </c>
    </row>
    <row r="3" spans="1:2">
      <c r="A3" s="92" t="s">
        <v>2313</v>
      </c>
      <c r="B3" s="92" t="s">
        <v>1722</v>
      </c>
    </row>
    <row r="4" spans="1:2">
      <c r="A4" s="92" t="s">
        <v>2263</v>
      </c>
      <c r="B4" s="92" t="s">
        <v>1672</v>
      </c>
    </row>
    <row r="5" spans="1:2">
      <c r="A5" s="92" t="s">
        <v>2258</v>
      </c>
      <c r="B5" s="92" t="s">
        <v>1667</v>
      </c>
    </row>
    <row r="6" spans="1:2">
      <c r="A6" s="92" t="s">
        <v>2255</v>
      </c>
      <c r="B6" s="92" t="s">
        <v>1664</v>
      </c>
    </row>
    <row r="7" spans="1:2">
      <c r="A7" s="92" t="s">
        <v>2256</v>
      </c>
      <c r="B7" s="92" t="s">
        <v>1665</v>
      </c>
    </row>
    <row r="8" spans="1:2">
      <c r="A8" s="92" t="s">
        <v>2264</v>
      </c>
      <c r="B8" s="92" t="s">
        <v>1673</v>
      </c>
    </row>
    <row r="9" spans="1:2">
      <c r="A9" s="92" t="s">
        <v>2266</v>
      </c>
      <c r="B9" s="92" t="s">
        <v>1675</v>
      </c>
    </row>
    <row r="10" spans="1:2">
      <c r="A10" s="92" t="s">
        <v>2261</v>
      </c>
      <c r="B10" s="92" t="s">
        <v>1670</v>
      </c>
    </row>
    <row r="11" spans="1:2">
      <c r="A11" s="92" t="s">
        <v>2262</v>
      </c>
      <c r="B11" s="92" t="s">
        <v>1671</v>
      </c>
    </row>
    <row r="12" spans="1:2">
      <c r="A12" s="92" t="s">
        <v>2254</v>
      </c>
      <c r="B12" s="92" t="s">
        <v>1663</v>
      </c>
    </row>
    <row r="13" spans="1:2">
      <c r="A13" s="92" t="s">
        <v>2267</v>
      </c>
      <c r="B13" s="92" t="s">
        <v>1676</v>
      </c>
    </row>
    <row r="14" spans="1:2">
      <c r="A14" s="92" t="s">
        <v>2268</v>
      </c>
      <c r="B14" s="92" t="s">
        <v>1677</v>
      </c>
    </row>
    <row r="15" spans="1:2">
      <c r="A15" s="92" t="s">
        <v>2269</v>
      </c>
      <c r="B15" s="92" t="s">
        <v>1678</v>
      </c>
    </row>
    <row r="16" spans="1:2">
      <c r="A16" s="92" t="s">
        <v>2277</v>
      </c>
      <c r="B16" s="92" t="s">
        <v>1686</v>
      </c>
    </row>
    <row r="17" spans="1:2">
      <c r="A17" s="92" t="s">
        <v>2276</v>
      </c>
      <c r="B17" s="92" t="s">
        <v>1685</v>
      </c>
    </row>
    <row r="18" spans="1:2">
      <c r="A18" s="92" t="s">
        <v>2274</v>
      </c>
      <c r="B18" s="92" t="s">
        <v>1683</v>
      </c>
    </row>
    <row r="19" spans="1:2">
      <c r="A19" s="92" t="s">
        <v>2284</v>
      </c>
      <c r="B19" s="92" t="s">
        <v>1693</v>
      </c>
    </row>
    <row r="20" spans="1:2">
      <c r="A20" s="92" t="s">
        <v>2279</v>
      </c>
      <c r="B20" s="92" t="s">
        <v>1688</v>
      </c>
    </row>
    <row r="21" spans="1:2">
      <c r="A21" s="92" t="s">
        <v>2271</v>
      </c>
      <c r="B21" s="92" t="s">
        <v>1680</v>
      </c>
    </row>
    <row r="22" spans="1:2">
      <c r="A22" s="92" t="s">
        <v>2280</v>
      </c>
      <c r="B22" s="92" t="s">
        <v>1689</v>
      </c>
    </row>
    <row r="23" spans="1:2">
      <c r="A23" s="92" t="s">
        <v>2272</v>
      </c>
      <c r="B23" s="92" t="s">
        <v>1681</v>
      </c>
    </row>
    <row r="24" spans="1:2">
      <c r="A24" s="92" t="s">
        <v>2281</v>
      </c>
      <c r="B24" s="92" t="s">
        <v>1690</v>
      </c>
    </row>
    <row r="25" spans="1:2">
      <c r="A25" s="92" t="s">
        <v>2286</v>
      </c>
      <c r="B25" s="92" t="s">
        <v>1695</v>
      </c>
    </row>
    <row r="26" spans="1:2">
      <c r="A26" s="92" t="s">
        <v>2282</v>
      </c>
      <c r="B26" s="92" t="s">
        <v>1691</v>
      </c>
    </row>
    <row r="27" spans="1:2">
      <c r="A27" s="92" t="s">
        <v>2278</v>
      </c>
      <c r="B27" s="92" t="s">
        <v>1687</v>
      </c>
    </row>
    <row r="28" spans="1:2">
      <c r="A28" s="92" t="s">
        <v>2288</v>
      </c>
      <c r="B28" s="92" t="s">
        <v>1697</v>
      </c>
    </row>
    <row r="29" spans="1:2">
      <c r="A29" s="92" t="s">
        <v>2287</v>
      </c>
      <c r="B29" s="92" t="s">
        <v>1696</v>
      </c>
    </row>
    <row r="30" spans="1:2">
      <c r="A30" s="92" t="s">
        <v>2283</v>
      </c>
      <c r="B30" s="92" t="s">
        <v>1692</v>
      </c>
    </row>
    <row r="31" spans="1:2">
      <c r="A31" s="92" t="s">
        <v>2353</v>
      </c>
      <c r="B31" s="92" t="s">
        <v>1762</v>
      </c>
    </row>
    <row r="32" spans="1:2">
      <c r="A32" s="92" t="s">
        <v>2285</v>
      </c>
      <c r="B32" s="92" t="s">
        <v>1694</v>
      </c>
    </row>
    <row r="33" spans="1:2">
      <c r="A33" s="92" t="s">
        <v>2275</v>
      </c>
      <c r="B33" s="92" t="s">
        <v>1684</v>
      </c>
    </row>
    <row r="34" spans="1:2">
      <c r="A34" s="92" t="s">
        <v>2273</v>
      </c>
      <c r="B34" s="92" t="s">
        <v>1682</v>
      </c>
    </row>
    <row r="35" spans="1:2">
      <c r="A35" s="92" t="s">
        <v>2270</v>
      </c>
      <c r="B35" s="92" t="s">
        <v>1679</v>
      </c>
    </row>
    <row r="36" spans="1:2">
      <c r="A36" s="92" t="s">
        <v>2366</v>
      </c>
      <c r="B36" s="92" t="s">
        <v>1775</v>
      </c>
    </row>
    <row r="37" spans="1:2">
      <c r="A37" s="92" t="s">
        <v>2296</v>
      </c>
      <c r="B37" s="92" t="s">
        <v>1705</v>
      </c>
    </row>
    <row r="38" spans="1:2">
      <c r="A38" s="92" t="s">
        <v>2290</v>
      </c>
      <c r="B38" s="92" t="s">
        <v>1699</v>
      </c>
    </row>
    <row r="39" spans="1:2">
      <c r="A39" s="92" t="s">
        <v>2301</v>
      </c>
      <c r="B39" s="92" t="s">
        <v>1710</v>
      </c>
    </row>
    <row r="40" spans="1:2">
      <c r="A40" s="92" t="s">
        <v>2305</v>
      </c>
      <c r="B40" s="92" t="s">
        <v>1714</v>
      </c>
    </row>
    <row r="41" spans="1:2">
      <c r="A41" s="92" t="s">
        <v>2289</v>
      </c>
      <c r="B41" s="92" t="s">
        <v>1698</v>
      </c>
    </row>
    <row r="42" spans="1:2">
      <c r="A42" s="92" t="s">
        <v>1849</v>
      </c>
      <c r="B42" s="92" t="s">
        <v>2218</v>
      </c>
    </row>
    <row r="43" spans="1:2">
      <c r="A43" s="92" t="s">
        <v>2293</v>
      </c>
      <c r="B43" s="92" t="s">
        <v>1702</v>
      </c>
    </row>
    <row r="44" spans="1:2">
      <c r="A44" s="92" t="s">
        <v>2294</v>
      </c>
      <c r="B44" s="92" t="s">
        <v>1703</v>
      </c>
    </row>
    <row r="45" spans="1:2">
      <c r="A45" s="92" t="s">
        <v>2304</v>
      </c>
      <c r="B45" s="92" t="s">
        <v>1713</v>
      </c>
    </row>
    <row r="46" spans="1:2">
      <c r="A46" s="92" t="s">
        <v>2291</v>
      </c>
      <c r="B46" s="92" t="s">
        <v>1700</v>
      </c>
    </row>
    <row r="47" spans="1:2">
      <c r="A47" s="92" t="s">
        <v>2299</v>
      </c>
      <c r="B47" s="92" t="s">
        <v>1708</v>
      </c>
    </row>
    <row r="48" spans="1:2">
      <c r="A48" s="92" t="s">
        <v>2300</v>
      </c>
      <c r="B48" s="92" t="s">
        <v>1709</v>
      </c>
    </row>
    <row r="49" spans="1:2">
      <c r="A49" s="92" t="s">
        <v>2297</v>
      </c>
      <c r="B49" s="92" t="s">
        <v>1706</v>
      </c>
    </row>
    <row r="50" spans="1:2">
      <c r="A50" s="92" t="s">
        <v>2298</v>
      </c>
      <c r="B50" s="92" t="s">
        <v>1707</v>
      </c>
    </row>
    <row r="51" spans="1:2">
      <c r="A51" s="92" t="s">
        <v>2302</v>
      </c>
      <c r="B51" s="92" t="s">
        <v>1711</v>
      </c>
    </row>
    <row r="52" spans="1:2">
      <c r="A52" s="92" t="s">
        <v>2295</v>
      </c>
      <c r="B52" s="92" t="s">
        <v>1704</v>
      </c>
    </row>
    <row r="53" spans="1:2">
      <c r="A53" s="92" t="s">
        <v>2348</v>
      </c>
      <c r="B53" s="92" t="s">
        <v>1757</v>
      </c>
    </row>
    <row r="54" spans="1:2">
      <c r="A54" s="92" t="s">
        <v>2303</v>
      </c>
      <c r="B54" s="92" t="s">
        <v>1712</v>
      </c>
    </row>
    <row r="55" spans="1:2">
      <c r="A55" s="92" t="s">
        <v>2306</v>
      </c>
      <c r="B55" s="92" t="s">
        <v>1715</v>
      </c>
    </row>
    <row r="56" spans="1:2">
      <c r="A56" s="92" t="s">
        <v>2307</v>
      </c>
      <c r="B56" s="92" t="s">
        <v>1716</v>
      </c>
    </row>
    <row r="57" spans="1:2">
      <c r="A57" s="92" t="s">
        <v>2311</v>
      </c>
      <c r="B57" s="92" t="s">
        <v>1720</v>
      </c>
    </row>
    <row r="58" spans="1:2">
      <c r="A58" s="92" t="s">
        <v>2309</v>
      </c>
      <c r="B58" s="92" t="s">
        <v>1718</v>
      </c>
    </row>
    <row r="59" spans="1:2">
      <c r="A59" s="92" t="s">
        <v>2310</v>
      </c>
      <c r="B59" s="92" t="s">
        <v>1719</v>
      </c>
    </row>
    <row r="60" spans="1:2">
      <c r="A60" s="92" t="s">
        <v>2312</v>
      </c>
      <c r="B60" s="92" t="s">
        <v>1721</v>
      </c>
    </row>
    <row r="61" spans="1:2">
      <c r="A61" s="92" t="s">
        <v>1855</v>
      </c>
      <c r="B61" s="92" t="s">
        <v>2224</v>
      </c>
    </row>
    <row r="62" spans="1:2">
      <c r="A62" s="92" t="s">
        <v>2314</v>
      </c>
      <c r="B62" s="92" t="s">
        <v>1723</v>
      </c>
    </row>
    <row r="63" spans="1:2">
      <c r="A63" s="92" t="s">
        <v>2315</v>
      </c>
      <c r="B63" s="92" t="s">
        <v>1724</v>
      </c>
    </row>
    <row r="64" spans="1:2">
      <c r="A64" s="92" t="s">
        <v>1836</v>
      </c>
      <c r="B64" s="92" t="s">
        <v>2205</v>
      </c>
    </row>
    <row r="65" spans="1:2">
      <c r="A65" s="92" t="s">
        <v>2337</v>
      </c>
      <c r="B65" s="92" t="s">
        <v>1746</v>
      </c>
    </row>
    <row r="66" spans="1:2">
      <c r="A66" s="92" t="s">
        <v>2316</v>
      </c>
      <c r="B66" s="92" t="s">
        <v>1725</v>
      </c>
    </row>
    <row r="67" spans="1:2">
      <c r="A67" s="92" t="s">
        <v>2319</v>
      </c>
      <c r="B67" s="92" t="s">
        <v>1728</v>
      </c>
    </row>
    <row r="68" spans="1:2">
      <c r="A68" s="92" t="s">
        <v>2320</v>
      </c>
      <c r="B68" s="92" t="s">
        <v>1729</v>
      </c>
    </row>
    <row r="69" spans="1:2">
      <c r="A69" s="92" t="s">
        <v>2323</v>
      </c>
      <c r="B69" s="92" t="s">
        <v>1732</v>
      </c>
    </row>
    <row r="70" spans="1:2">
      <c r="A70" s="92" t="s">
        <v>2325</v>
      </c>
      <c r="B70" s="92" t="s">
        <v>1734</v>
      </c>
    </row>
    <row r="71" spans="1:2">
      <c r="A71" s="92" t="s">
        <v>2322</v>
      </c>
      <c r="B71" s="92" t="s">
        <v>1731</v>
      </c>
    </row>
    <row r="72" spans="1:2">
      <c r="A72" s="92" t="s">
        <v>2321</v>
      </c>
      <c r="B72" s="92" t="s">
        <v>1730</v>
      </c>
    </row>
    <row r="73" spans="1:2">
      <c r="A73" s="92" t="s">
        <v>2324</v>
      </c>
      <c r="B73" s="92" t="s">
        <v>1733</v>
      </c>
    </row>
    <row r="74" spans="1:2">
      <c r="A74" s="92" t="s">
        <v>2327</v>
      </c>
      <c r="B74" s="92" t="s">
        <v>1736</v>
      </c>
    </row>
    <row r="75" spans="1:2">
      <c r="A75" s="92" t="s">
        <v>2342</v>
      </c>
      <c r="B75" s="92" t="s">
        <v>1751</v>
      </c>
    </row>
    <row r="76" spans="1:2">
      <c r="A76" s="92" t="s">
        <v>1821</v>
      </c>
      <c r="B76" s="92" t="s">
        <v>2190</v>
      </c>
    </row>
    <row r="77" spans="1:2">
      <c r="A77" s="92" t="s">
        <v>2265</v>
      </c>
      <c r="B77" s="92" t="s">
        <v>1674</v>
      </c>
    </row>
    <row r="78" spans="1:2">
      <c r="A78" s="92" t="s">
        <v>2328</v>
      </c>
      <c r="B78" s="92" t="s">
        <v>1737</v>
      </c>
    </row>
    <row r="79" spans="1:2">
      <c r="A79" s="92" t="s">
        <v>2335</v>
      </c>
      <c r="B79" s="92" t="s">
        <v>1744</v>
      </c>
    </row>
    <row r="80" spans="1:2">
      <c r="A80" s="92" t="s">
        <v>2330</v>
      </c>
      <c r="B80" s="92" t="s">
        <v>1739</v>
      </c>
    </row>
    <row r="81" spans="1:2">
      <c r="A81" s="92" t="s">
        <v>2308</v>
      </c>
      <c r="B81" s="92" t="s">
        <v>1717</v>
      </c>
    </row>
    <row r="82" spans="1:2">
      <c r="A82" s="92" t="s">
        <v>2331</v>
      </c>
      <c r="B82" s="92" t="s">
        <v>1740</v>
      </c>
    </row>
    <row r="83" spans="1:2">
      <c r="A83" s="92" t="s">
        <v>2332</v>
      </c>
      <c r="B83" s="92" t="s">
        <v>1741</v>
      </c>
    </row>
    <row r="84" spans="1:2">
      <c r="A84" s="92" t="s">
        <v>2338</v>
      </c>
      <c r="B84" s="92" t="s">
        <v>1747</v>
      </c>
    </row>
    <row r="85" spans="1:2">
      <c r="A85" s="92" t="s">
        <v>2340</v>
      </c>
      <c r="B85" s="92" t="s">
        <v>1749</v>
      </c>
    </row>
    <row r="86" spans="1:2">
      <c r="A86" s="92" t="s">
        <v>2339</v>
      </c>
      <c r="B86" s="92" t="s">
        <v>1748</v>
      </c>
    </row>
    <row r="87" spans="1:2">
      <c r="A87" s="92" t="s">
        <v>2334</v>
      </c>
      <c r="B87" s="92" t="s">
        <v>1743</v>
      </c>
    </row>
    <row r="88" spans="1:2">
      <c r="A88" s="92" t="s">
        <v>2343</v>
      </c>
      <c r="B88" s="92" t="s">
        <v>1752</v>
      </c>
    </row>
    <row r="89" spans="1:2">
      <c r="A89" s="92" t="s">
        <v>2341</v>
      </c>
      <c r="B89" s="92" t="s">
        <v>1750</v>
      </c>
    </row>
    <row r="90" spans="1:2">
      <c r="A90" s="92" t="s">
        <v>2333</v>
      </c>
      <c r="B90" s="92" t="s">
        <v>1742</v>
      </c>
    </row>
    <row r="91" spans="1:2">
      <c r="A91" s="92" t="s">
        <v>2336</v>
      </c>
      <c r="B91" s="92" t="s">
        <v>1745</v>
      </c>
    </row>
    <row r="92" spans="1:2">
      <c r="A92" s="92" t="s">
        <v>2344</v>
      </c>
      <c r="B92" s="92" t="s">
        <v>1753</v>
      </c>
    </row>
    <row r="93" spans="1:2">
      <c r="A93" s="92" t="s">
        <v>2349</v>
      </c>
      <c r="B93" s="92" t="s">
        <v>1758</v>
      </c>
    </row>
    <row r="94" spans="1:2">
      <c r="A94" s="92" t="s">
        <v>2346</v>
      </c>
      <c r="B94" s="92" t="s">
        <v>1755</v>
      </c>
    </row>
    <row r="95" spans="1:2">
      <c r="A95" s="92" t="s">
        <v>2347</v>
      </c>
      <c r="B95" s="92" t="s">
        <v>1756</v>
      </c>
    </row>
    <row r="96" spans="1:2">
      <c r="A96" s="92" t="s">
        <v>2345</v>
      </c>
      <c r="B96" s="92" t="s">
        <v>1754</v>
      </c>
    </row>
    <row r="97" spans="1:2">
      <c r="A97" s="92" t="s">
        <v>2350</v>
      </c>
      <c r="B97" s="92" t="s">
        <v>1759</v>
      </c>
    </row>
    <row r="98" spans="1:2">
      <c r="A98" s="92" t="s">
        <v>2357</v>
      </c>
      <c r="B98" s="92" t="s">
        <v>1766</v>
      </c>
    </row>
    <row r="99" spans="1:2">
      <c r="A99" s="92" t="s">
        <v>2352</v>
      </c>
      <c r="B99" s="92" t="s">
        <v>1761</v>
      </c>
    </row>
    <row r="100" spans="1:2">
      <c r="A100" s="92" t="s">
        <v>2351</v>
      </c>
      <c r="B100" s="92" t="s">
        <v>1760</v>
      </c>
    </row>
    <row r="101" spans="1:2">
      <c r="A101" s="92" t="s">
        <v>2355</v>
      </c>
      <c r="B101" s="92" t="s">
        <v>1764</v>
      </c>
    </row>
    <row r="102" spans="1:2">
      <c r="A102" s="92" t="s">
        <v>2356</v>
      </c>
      <c r="B102" s="92" t="s">
        <v>1765</v>
      </c>
    </row>
    <row r="103" spans="1:2">
      <c r="A103" s="92" t="s">
        <v>2354</v>
      </c>
      <c r="B103" s="92" t="s">
        <v>1763</v>
      </c>
    </row>
    <row r="104" spans="1:2">
      <c r="A104" s="92" t="s">
        <v>2358</v>
      </c>
      <c r="B104" s="92" t="s">
        <v>1767</v>
      </c>
    </row>
    <row r="105" spans="1:2">
      <c r="A105" s="92" t="s">
        <v>2359</v>
      </c>
      <c r="B105" s="92" t="s">
        <v>1768</v>
      </c>
    </row>
    <row r="106" spans="1:2">
      <c r="A106" s="92" t="s">
        <v>2360</v>
      </c>
      <c r="B106" s="92" t="s">
        <v>1769</v>
      </c>
    </row>
    <row r="107" spans="1:2">
      <c r="A107" s="92" t="s">
        <v>2362</v>
      </c>
      <c r="B107" s="92" t="s">
        <v>1771</v>
      </c>
    </row>
    <row r="108" spans="1:2">
      <c r="A108" s="92" t="s">
        <v>2361</v>
      </c>
      <c r="B108" s="92" t="s">
        <v>1770</v>
      </c>
    </row>
    <row r="109" spans="1:2">
      <c r="A109" s="92" t="s">
        <v>2363</v>
      </c>
      <c r="B109" s="92" t="s">
        <v>1772</v>
      </c>
    </row>
    <row r="110" spans="1:2">
      <c r="A110" s="92" t="s">
        <v>2364</v>
      </c>
      <c r="B110" s="92" t="s">
        <v>1773</v>
      </c>
    </row>
    <row r="111" spans="1:2">
      <c r="A111" s="92" t="s">
        <v>2367</v>
      </c>
      <c r="B111" s="92" t="s">
        <v>1776</v>
      </c>
    </row>
    <row r="112" spans="1:2">
      <c r="A112" s="92" t="s">
        <v>1818</v>
      </c>
      <c r="B112" s="92" t="s">
        <v>2187</v>
      </c>
    </row>
    <row r="113" spans="1:2">
      <c r="A113" s="92" t="s">
        <v>2369</v>
      </c>
      <c r="B113" s="92" t="s">
        <v>1778</v>
      </c>
    </row>
    <row r="114" spans="1:2">
      <c r="A114" s="92" t="s">
        <v>2370</v>
      </c>
      <c r="B114" s="92" t="s">
        <v>1779</v>
      </c>
    </row>
    <row r="115" spans="1:2">
      <c r="A115" s="92" t="s">
        <v>2365</v>
      </c>
      <c r="B115" s="92" t="s">
        <v>1774</v>
      </c>
    </row>
    <row r="116" spans="1:2">
      <c r="A116" s="92" t="s">
        <v>2371</v>
      </c>
      <c r="B116" s="92" t="s">
        <v>1780</v>
      </c>
    </row>
    <row r="117" spans="1:2">
      <c r="A117" s="92" t="s">
        <v>2381</v>
      </c>
      <c r="B117" s="92" t="s">
        <v>1790</v>
      </c>
    </row>
    <row r="118" spans="1:2">
      <c r="A118" s="92" t="s">
        <v>2372</v>
      </c>
      <c r="B118" s="92" t="s">
        <v>1781</v>
      </c>
    </row>
    <row r="119" spans="1:2">
      <c r="A119" s="92" t="s">
        <v>2378</v>
      </c>
      <c r="B119" s="92" t="s">
        <v>1787</v>
      </c>
    </row>
    <row r="120" spans="1:2">
      <c r="A120" s="92" t="s">
        <v>2373</v>
      </c>
      <c r="B120" s="92" t="s">
        <v>1782</v>
      </c>
    </row>
    <row r="121" spans="1:2">
      <c r="A121" s="92" t="s">
        <v>2374</v>
      </c>
      <c r="B121" s="92" t="s">
        <v>1783</v>
      </c>
    </row>
    <row r="122" spans="1:2">
      <c r="A122" s="92" t="s">
        <v>2376</v>
      </c>
      <c r="B122" s="92" t="s">
        <v>1785</v>
      </c>
    </row>
    <row r="123" spans="1:2">
      <c r="A123" s="92" t="s">
        <v>2379</v>
      </c>
      <c r="B123" s="92" t="s">
        <v>1788</v>
      </c>
    </row>
    <row r="124" spans="1:2">
      <c r="A124" s="92" t="s">
        <v>2380</v>
      </c>
      <c r="B124" s="92" t="s">
        <v>1789</v>
      </c>
    </row>
    <row r="125" spans="1:2">
      <c r="A125" s="92" t="s">
        <v>2382</v>
      </c>
      <c r="B125" s="92" t="s">
        <v>1791</v>
      </c>
    </row>
    <row r="126" spans="1:2">
      <c r="A126" s="92" t="s">
        <v>2390</v>
      </c>
      <c r="B126" s="92" t="s">
        <v>1799</v>
      </c>
    </row>
    <row r="127" spans="1:2">
      <c r="A127" s="92" t="s">
        <v>2386</v>
      </c>
      <c r="B127" s="92" t="s">
        <v>1795</v>
      </c>
    </row>
    <row r="128" spans="1:2">
      <c r="A128" s="92" t="s">
        <v>2401</v>
      </c>
      <c r="B128" s="92" t="s">
        <v>1810</v>
      </c>
    </row>
    <row r="129" spans="1:2">
      <c r="A129" s="92" t="s">
        <v>2402</v>
      </c>
      <c r="B129" s="92" t="s">
        <v>2163</v>
      </c>
    </row>
    <row r="130" spans="1:2">
      <c r="A130" s="92" t="s">
        <v>2387</v>
      </c>
      <c r="B130" s="92" t="s">
        <v>1796</v>
      </c>
    </row>
    <row r="131" spans="1:2">
      <c r="A131" s="92" t="s">
        <v>2391</v>
      </c>
      <c r="B131" s="92" t="s">
        <v>1800</v>
      </c>
    </row>
    <row r="132" spans="1:2">
      <c r="A132" s="92" t="s">
        <v>2392</v>
      </c>
      <c r="B132" s="92" t="s">
        <v>1801</v>
      </c>
    </row>
    <row r="133" spans="1:2">
      <c r="A133" s="92" t="s">
        <v>2389</v>
      </c>
      <c r="B133" s="92" t="s">
        <v>1798</v>
      </c>
    </row>
    <row r="134" spans="1:2">
      <c r="A134" s="92" t="s">
        <v>2399</v>
      </c>
      <c r="B134" s="92" t="s">
        <v>1808</v>
      </c>
    </row>
    <row r="135" spans="1:2">
      <c r="A135" s="92" t="s">
        <v>2397</v>
      </c>
      <c r="B135" s="92" t="s">
        <v>1806</v>
      </c>
    </row>
    <row r="136" spans="1:2">
      <c r="A136" s="92" t="s">
        <v>2400</v>
      </c>
      <c r="B136" s="92" t="s">
        <v>1809</v>
      </c>
    </row>
    <row r="137" spans="1:2">
      <c r="A137" s="92" t="s">
        <v>2403</v>
      </c>
      <c r="B137" s="92" t="s">
        <v>2164</v>
      </c>
    </row>
    <row r="138" spans="1:2">
      <c r="A138" s="92" t="s">
        <v>2388</v>
      </c>
      <c r="B138" s="92" t="s">
        <v>1797</v>
      </c>
    </row>
    <row r="139" spans="1:2">
      <c r="A139" s="92" t="s">
        <v>2326</v>
      </c>
      <c r="B139" s="92" t="s">
        <v>1735</v>
      </c>
    </row>
    <row r="140" spans="1:2">
      <c r="A140" s="92" t="s">
        <v>2385</v>
      </c>
      <c r="B140" s="92" t="s">
        <v>1794</v>
      </c>
    </row>
    <row r="141" spans="1:2">
      <c r="A141" s="92" t="s">
        <v>2384</v>
      </c>
      <c r="B141" s="92" t="s">
        <v>1793</v>
      </c>
    </row>
    <row r="142" spans="1:2">
      <c r="A142" s="92" t="s">
        <v>2394</v>
      </c>
      <c r="B142" s="92" t="s">
        <v>1803</v>
      </c>
    </row>
    <row r="143" spans="1:2">
      <c r="A143" s="92" t="s">
        <v>2398</v>
      </c>
      <c r="B143" s="92" t="s">
        <v>1807</v>
      </c>
    </row>
    <row r="144" spans="1:2">
      <c r="A144" s="92" t="s">
        <v>2383</v>
      </c>
      <c r="B144" s="92" t="s">
        <v>1792</v>
      </c>
    </row>
    <row r="145" spans="1:2">
      <c r="A145" s="92" t="s">
        <v>2396</v>
      </c>
      <c r="B145" s="92" t="s">
        <v>1805</v>
      </c>
    </row>
    <row r="146" spans="1:2">
      <c r="A146" s="92" t="s">
        <v>2393</v>
      </c>
      <c r="B146" s="92" t="s">
        <v>1802</v>
      </c>
    </row>
    <row r="147" spans="1:2">
      <c r="A147" s="92" t="s">
        <v>2404</v>
      </c>
      <c r="B147" s="92" t="s">
        <v>2165</v>
      </c>
    </row>
    <row r="148" spans="1:2">
      <c r="A148" s="92" t="s">
        <v>2414</v>
      </c>
      <c r="B148" s="92" t="s">
        <v>2175</v>
      </c>
    </row>
    <row r="149" spans="1:2">
      <c r="A149" s="92" t="s">
        <v>2413</v>
      </c>
      <c r="B149" s="92" t="s">
        <v>2174</v>
      </c>
    </row>
    <row r="150" spans="1:2">
      <c r="A150" s="92" t="s">
        <v>2411</v>
      </c>
      <c r="B150" s="92" t="s">
        <v>2172</v>
      </c>
    </row>
    <row r="151" spans="1:2">
      <c r="A151" s="92" t="s">
        <v>2259</v>
      </c>
      <c r="B151" s="92" t="s">
        <v>1668</v>
      </c>
    </row>
    <row r="152" spans="1:2">
      <c r="A152" s="92" t="s">
        <v>2405</v>
      </c>
      <c r="B152" s="92" t="s">
        <v>2166</v>
      </c>
    </row>
    <row r="153" spans="1:2">
      <c r="A153" s="92" t="s">
        <v>2415</v>
      </c>
      <c r="B153" s="92" t="s">
        <v>2176</v>
      </c>
    </row>
    <row r="154" spans="1:2">
      <c r="A154" s="92" t="s">
        <v>2409</v>
      </c>
      <c r="B154" s="92" t="s">
        <v>2170</v>
      </c>
    </row>
    <row r="155" spans="1:2">
      <c r="A155" s="92" t="s">
        <v>2406</v>
      </c>
      <c r="B155" s="92" t="s">
        <v>2167</v>
      </c>
    </row>
    <row r="156" spans="1:2">
      <c r="A156" s="92" t="s">
        <v>2408</v>
      </c>
      <c r="B156" s="92" t="s">
        <v>2169</v>
      </c>
    </row>
    <row r="157" spans="1:2">
      <c r="A157" s="92" t="s">
        <v>2410</v>
      </c>
      <c r="B157" s="92" t="s">
        <v>2171</v>
      </c>
    </row>
    <row r="158" spans="1:2">
      <c r="A158" s="92" t="s">
        <v>2407</v>
      </c>
      <c r="B158" s="92" t="s">
        <v>2168</v>
      </c>
    </row>
    <row r="159" spans="1:2">
      <c r="A159" s="92" t="s">
        <v>2395</v>
      </c>
      <c r="B159" s="92" t="s">
        <v>1804</v>
      </c>
    </row>
    <row r="160" spans="1:2">
      <c r="A160" s="92" t="s">
        <v>2412</v>
      </c>
      <c r="B160" s="92" t="s">
        <v>2173</v>
      </c>
    </row>
    <row r="161" spans="1:2">
      <c r="A161" s="92" t="s">
        <v>2416</v>
      </c>
      <c r="B161" s="92" t="s">
        <v>2177</v>
      </c>
    </row>
    <row r="162" spans="1:2">
      <c r="A162" s="92" t="s">
        <v>2417</v>
      </c>
      <c r="B162" s="92" t="s">
        <v>2178</v>
      </c>
    </row>
    <row r="163" spans="1:2">
      <c r="A163" s="92" t="s">
        <v>1814</v>
      </c>
      <c r="B163" s="92" t="s">
        <v>2183</v>
      </c>
    </row>
    <row r="164" spans="1:2">
      <c r="A164" s="92" t="s">
        <v>2418</v>
      </c>
      <c r="B164" s="92" t="s">
        <v>2179</v>
      </c>
    </row>
    <row r="165" spans="1:2">
      <c r="A165" s="92" t="s">
        <v>1815</v>
      </c>
      <c r="B165" s="92" t="s">
        <v>2184</v>
      </c>
    </row>
    <row r="166" spans="1:2">
      <c r="A166" s="92" t="s">
        <v>1820</v>
      </c>
      <c r="B166" s="92" t="s">
        <v>2189</v>
      </c>
    </row>
    <row r="167" spans="1:2">
      <c r="A167" s="92" t="s">
        <v>1812</v>
      </c>
      <c r="B167" s="92" t="s">
        <v>2181</v>
      </c>
    </row>
    <row r="168" spans="1:2">
      <c r="A168" s="92" t="s">
        <v>1813</v>
      </c>
      <c r="B168" s="92" t="s">
        <v>2182</v>
      </c>
    </row>
    <row r="169" spans="1:2">
      <c r="A169" s="92" t="s">
        <v>2419</v>
      </c>
      <c r="B169" s="92" t="s">
        <v>2180</v>
      </c>
    </row>
    <row r="170" spans="1:2">
      <c r="A170" s="92" t="s">
        <v>1816</v>
      </c>
      <c r="B170" s="92" t="s">
        <v>2185</v>
      </c>
    </row>
    <row r="171" spans="1:2">
      <c r="A171" s="92" t="s">
        <v>1819</v>
      </c>
      <c r="B171" s="92" t="s">
        <v>2188</v>
      </c>
    </row>
    <row r="172" spans="1:2">
      <c r="A172" s="92" t="s">
        <v>1817</v>
      </c>
      <c r="B172" s="92" t="s">
        <v>2186</v>
      </c>
    </row>
    <row r="173" spans="1:2">
      <c r="A173" s="92" t="s">
        <v>1822</v>
      </c>
      <c r="B173" s="92" t="s">
        <v>2191</v>
      </c>
    </row>
    <row r="174" spans="1:2">
      <c r="A174" s="92" t="s">
        <v>1823</v>
      </c>
      <c r="B174" s="92" t="s">
        <v>2192</v>
      </c>
    </row>
    <row r="175" spans="1:2">
      <c r="A175" s="92" t="s">
        <v>1824</v>
      </c>
      <c r="B175" s="92" t="s">
        <v>2193</v>
      </c>
    </row>
    <row r="176" spans="1:2">
      <c r="A176" s="92" t="s">
        <v>1825</v>
      </c>
      <c r="B176" s="92" t="s">
        <v>2194</v>
      </c>
    </row>
    <row r="177" spans="1:2">
      <c r="A177" s="92" t="s">
        <v>1826</v>
      </c>
      <c r="B177" s="92" t="s">
        <v>2195</v>
      </c>
    </row>
    <row r="178" spans="1:2">
      <c r="A178" s="92" t="s">
        <v>2368</v>
      </c>
      <c r="B178" s="92" t="s">
        <v>1777</v>
      </c>
    </row>
    <row r="179" spans="1:2">
      <c r="A179" s="92" t="s">
        <v>2375</v>
      </c>
      <c r="B179" s="92" t="s">
        <v>1784</v>
      </c>
    </row>
    <row r="180" spans="1:2">
      <c r="A180" s="92" t="s">
        <v>1870</v>
      </c>
      <c r="B180" s="92" t="s">
        <v>2239</v>
      </c>
    </row>
    <row r="181" spans="1:2">
      <c r="A181" s="92" t="s">
        <v>1877</v>
      </c>
      <c r="B181" s="92" t="s">
        <v>2246</v>
      </c>
    </row>
    <row r="182" spans="1:2">
      <c r="A182" s="92" t="s">
        <v>1837</v>
      </c>
      <c r="B182" s="92" t="s">
        <v>2206</v>
      </c>
    </row>
    <row r="183" spans="1:2">
      <c r="A183" s="92" t="s">
        <v>1840</v>
      </c>
      <c r="B183" s="92" t="s">
        <v>2209</v>
      </c>
    </row>
    <row r="184" spans="1:2">
      <c r="A184" s="92" t="s">
        <v>1827</v>
      </c>
      <c r="B184" s="92" t="s">
        <v>2196</v>
      </c>
    </row>
    <row r="185" spans="1:2">
      <c r="A185" s="92" t="s">
        <v>1829</v>
      </c>
      <c r="B185" s="92" t="s">
        <v>2198</v>
      </c>
    </row>
    <row r="186" spans="1:2">
      <c r="A186" s="92" t="s">
        <v>1846</v>
      </c>
      <c r="B186" s="92" t="s">
        <v>2215</v>
      </c>
    </row>
    <row r="187" spans="1:2">
      <c r="A187" s="92" t="s">
        <v>1835</v>
      </c>
      <c r="B187" s="92" t="s">
        <v>2204</v>
      </c>
    </row>
    <row r="188" spans="1:2">
      <c r="A188" s="92" t="s">
        <v>1830</v>
      </c>
      <c r="B188" s="92" t="s">
        <v>2199</v>
      </c>
    </row>
    <row r="189" spans="1:2">
      <c r="A189" s="92" t="s">
        <v>1842</v>
      </c>
      <c r="B189" s="92" t="s">
        <v>2211</v>
      </c>
    </row>
    <row r="190" spans="1:2">
      <c r="A190" s="92" t="s">
        <v>1843</v>
      </c>
      <c r="B190" s="92" t="s">
        <v>2212</v>
      </c>
    </row>
    <row r="191" spans="1:2">
      <c r="A191" s="92" t="s">
        <v>1834</v>
      </c>
      <c r="B191" s="92" t="s">
        <v>2203</v>
      </c>
    </row>
    <row r="192" spans="1:2">
      <c r="A192" s="92" t="s">
        <v>1838</v>
      </c>
      <c r="B192" s="92" t="s">
        <v>2207</v>
      </c>
    </row>
    <row r="193" spans="1:2">
      <c r="A193" s="92" t="s">
        <v>1880</v>
      </c>
      <c r="B193" s="92" t="s">
        <v>2249</v>
      </c>
    </row>
    <row r="194" spans="1:2">
      <c r="A194" s="92" t="s">
        <v>1831</v>
      </c>
      <c r="B194" s="92" t="s">
        <v>2200</v>
      </c>
    </row>
    <row r="195" spans="1:2">
      <c r="A195" s="92" t="s">
        <v>2318</v>
      </c>
      <c r="B195" s="92" t="s">
        <v>1727</v>
      </c>
    </row>
    <row r="196" spans="1:2">
      <c r="A196" s="92" t="s">
        <v>2377</v>
      </c>
      <c r="B196" s="92" t="s">
        <v>1786</v>
      </c>
    </row>
    <row r="197" spans="1:2">
      <c r="A197" s="92" t="s">
        <v>1832</v>
      </c>
      <c r="B197" s="92" t="s">
        <v>2201</v>
      </c>
    </row>
    <row r="198" spans="1:2">
      <c r="A198" s="92" t="s">
        <v>1839</v>
      </c>
      <c r="B198" s="92" t="s">
        <v>2208</v>
      </c>
    </row>
    <row r="199" spans="1:2">
      <c r="A199" s="92" t="s">
        <v>1828</v>
      </c>
      <c r="B199" s="92" t="s">
        <v>2197</v>
      </c>
    </row>
    <row r="200" spans="1:2">
      <c r="A200" s="92" t="s">
        <v>1841</v>
      </c>
      <c r="B200" s="92" t="s">
        <v>2210</v>
      </c>
    </row>
    <row r="201" spans="1:2">
      <c r="A201" s="92" t="s">
        <v>1833</v>
      </c>
      <c r="B201" s="92" t="s">
        <v>2202</v>
      </c>
    </row>
    <row r="202" spans="1:2">
      <c r="A202" s="92" t="s">
        <v>1845</v>
      </c>
      <c r="B202" s="92" t="s">
        <v>2214</v>
      </c>
    </row>
    <row r="203" spans="1:2">
      <c r="A203" s="92" t="s">
        <v>1844</v>
      </c>
      <c r="B203" s="92" t="s">
        <v>2213</v>
      </c>
    </row>
    <row r="204" spans="1:2">
      <c r="A204" s="92" t="s">
        <v>2292</v>
      </c>
      <c r="B204" s="92" t="s">
        <v>1701</v>
      </c>
    </row>
    <row r="205" spans="1:2">
      <c r="A205" s="92" t="s">
        <v>1847</v>
      </c>
      <c r="B205" s="92" t="s">
        <v>2216</v>
      </c>
    </row>
    <row r="206" spans="1:2">
      <c r="A206" s="92" t="s">
        <v>1861</v>
      </c>
      <c r="B206" s="92" t="s">
        <v>2230</v>
      </c>
    </row>
    <row r="207" spans="1:2">
      <c r="A207" s="92" t="s">
        <v>1852</v>
      </c>
      <c r="B207" s="92" t="s">
        <v>2221</v>
      </c>
    </row>
    <row r="208" spans="1:2">
      <c r="A208" s="92" t="s">
        <v>1862</v>
      </c>
      <c r="B208" s="92" t="s">
        <v>2231</v>
      </c>
    </row>
    <row r="209" spans="1:2">
      <c r="A209" s="92" t="s">
        <v>1851</v>
      </c>
      <c r="B209" s="92" t="s">
        <v>2220</v>
      </c>
    </row>
    <row r="210" spans="1:2">
      <c r="A210" s="92" t="s">
        <v>1850</v>
      </c>
      <c r="B210" s="92" t="s">
        <v>2219</v>
      </c>
    </row>
    <row r="211" spans="1:2">
      <c r="A211" s="92" t="s">
        <v>1853</v>
      </c>
      <c r="B211" s="92" t="s">
        <v>2222</v>
      </c>
    </row>
    <row r="212" spans="1:2">
      <c r="A212" s="92" t="s">
        <v>1856</v>
      </c>
      <c r="B212" s="92" t="s">
        <v>2225</v>
      </c>
    </row>
    <row r="213" spans="1:2">
      <c r="A213" s="92" t="s">
        <v>1857</v>
      </c>
      <c r="B213" s="92" t="s">
        <v>2226</v>
      </c>
    </row>
    <row r="214" spans="1:2">
      <c r="A214" s="92" t="s">
        <v>1858</v>
      </c>
      <c r="B214" s="92" t="s">
        <v>2227</v>
      </c>
    </row>
    <row r="215" spans="1:2">
      <c r="A215" s="92" t="s">
        <v>1859</v>
      </c>
      <c r="B215" s="92" t="s">
        <v>2228</v>
      </c>
    </row>
    <row r="216" spans="1:2">
      <c r="A216" s="92" t="s">
        <v>1854</v>
      </c>
      <c r="B216" s="92" t="s">
        <v>2223</v>
      </c>
    </row>
    <row r="217" spans="1:2">
      <c r="A217" s="92" t="s">
        <v>1848</v>
      </c>
      <c r="B217" s="92" t="s">
        <v>2217</v>
      </c>
    </row>
    <row r="218" spans="1:2">
      <c r="A218" s="92" t="s">
        <v>1860</v>
      </c>
      <c r="B218" s="92" t="s">
        <v>2229</v>
      </c>
    </row>
    <row r="219" spans="1:2">
      <c r="A219" s="92" t="s">
        <v>1863</v>
      </c>
      <c r="B219" s="92" t="s">
        <v>2232</v>
      </c>
    </row>
    <row r="220" spans="1:2">
      <c r="A220" s="92" t="s">
        <v>1864</v>
      </c>
      <c r="B220" s="92" t="s">
        <v>2233</v>
      </c>
    </row>
    <row r="221" spans="1:2">
      <c r="A221" s="92" t="s">
        <v>2260</v>
      </c>
      <c r="B221" s="92" t="s">
        <v>1669</v>
      </c>
    </row>
    <row r="222" spans="1:2">
      <c r="A222" s="92" t="s">
        <v>2329</v>
      </c>
      <c r="B222" s="92" t="s">
        <v>1738</v>
      </c>
    </row>
    <row r="223" spans="1:2">
      <c r="A223" s="92" t="s">
        <v>1867</v>
      </c>
      <c r="B223" s="92" t="s">
        <v>2236</v>
      </c>
    </row>
    <row r="224" spans="1:2">
      <c r="A224" s="92" t="s">
        <v>1865</v>
      </c>
      <c r="B224" s="92" t="s">
        <v>2234</v>
      </c>
    </row>
    <row r="225" spans="1:2">
      <c r="A225" s="92" t="s">
        <v>1866</v>
      </c>
      <c r="B225" s="92" t="s">
        <v>2235</v>
      </c>
    </row>
    <row r="226" spans="1:2">
      <c r="A226" s="92" t="s">
        <v>1868</v>
      </c>
      <c r="B226" s="92" t="s">
        <v>2237</v>
      </c>
    </row>
    <row r="227" spans="1:2">
      <c r="A227" s="92" t="s">
        <v>1875</v>
      </c>
      <c r="B227" s="92" t="s">
        <v>2244</v>
      </c>
    </row>
    <row r="228" spans="1:2">
      <c r="A228" s="92" t="s">
        <v>1869</v>
      </c>
      <c r="B228" s="92" t="s">
        <v>2238</v>
      </c>
    </row>
    <row r="229" spans="1:2">
      <c r="A229" s="92" t="s">
        <v>1871</v>
      </c>
      <c r="B229" s="92" t="s">
        <v>2240</v>
      </c>
    </row>
    <row r="230" spans="1:2">
      <c r="A230" s="92" t="s">
        <v>1874</v>
      </c>
      <c r="B230" s="92" t="s">
        <v>2243</v>
      </c>
    </row>
    <row r="231" spans="1:2">
      <c r="A231" s="92" t="s">
        <v>1872</v>
      </c>
      <c r="B231" s="92" t="s">
        <v>2241</v>
      </c>
    </row>
    <row r="232" spans="1:2">
      <c r="A232" s="92" t="s">
        <v>1873</v>
      </c>
      <c r="B232" s="92" t="s">
        <v>2242</v>
      </c>
    </row>
    <row r="233" spans="1:2">
      <c r="A233" s="92" t="s">
        <v>1876</v>
      </c>
      <c r="B233" s="92" t="s">
        <v>2245</v>
      </c>
    </row>
    <row r="234" spans="1:2">
      <c r="A234" s="92" t="s">
        <v>2317</v>
      </c>
      <c r="B234" s="92" t="s">
        <v>1726</v>
      </c>
    </row>
    <row r="235" spans="1:2">
      <c r="A235" s="92" t="s">
        <v>1878</v>
      </c>
      <c r="B235" s="92" t="s">
        <v>2247</v>
      </c>
    </row>
    <row r="236" spans="1:2">
      <c r="A236" s="92" t="s">
        <v>1879</v>
      </c>
      <c r="B236" s="92" t="s">
        <v>2248</v>
      </c>
    </row>
    <row r="237" spans="1:2">
      <c r="A237" s="92" t="s">
        <v>1881</v>
      </c>
      <c r="B237" s="92" t="s">
        <v>2250</v>
      </c>
    </row>
    <row r="238" spans="1:2">
      <c r="A238" s="92" t="s">
        <v>1882</v>
      </c>
      <c r="B238" s="92" t="s">
        <v>2251</v>
      </c>
    </row>
    <row r="239" spans="1:2">
      <c r="A239" s="92" t="s">
        <v>1883</v>
      </c>
      <c r="B239" s="92" t="s">
        <v>2252</v>
      </c>
    </row>
  </sheetData>
  <phoneticPr fontId="3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0"/>
  <sheetViews>
    <sheetView showGridLines="0" zoomScale="60" zoomScaleNormal="60" workbookViewId="0">
      <selection activeCell="A8" sqref="A8"/>
    </sheetView>
  </sheetViews>
  <sheetFormatPr defaultRowHeight="12.75"/>
  <cols>
    <col min="1" max="1" width="143" customWidth="1"/>
    <col min="2" max="2" width="3" customWidth="1"/>
    <col min="3" max="3" width="8.75" style="134" customWidth="1"/>
  </cols>
  <sheetData>
    <row r="1" spans="1:2" ht="109.9" customHeight="1">
      <c r="A1" s="144" t="str">
        <f ca="1">OFFSET(L!$C$1,MATCH("Instructions"&amp;ADDRESS(ROW(),COLUMN(),4),L!$A:$A,0)-1,SL,,)</f>
        <v>CFSI website: (www.conflictfreesourcing.org)
Training and guidance, template, Conflict-Free Smelter Program compliant smelter list</v>
      </c>
      <c r="B1" s="135" t="s">
        <v>945</v>
      </c>
    </row>
    <row r="2" spans="1:2" ht="30">
      <c r="A2" s="145" t="str">
        <f ca="1">OFFSET(L!$C$1,MATCH("Instructions"&amp;ADDRESS(ROW(),COLUMN(),4),L!$A:$A,0)-1,SL,,)</f>
        <v>Introduction</v>
      </c>
      <c r="B2" s="135" t="s">
        <v>2674</v>
      </c>
    </row>
    <row r="3" spans="1:2" ht="120">
      <c r="A3" s="142"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v>
      </c>
      <c r="B3" s="135" t="s">
        <v>2675</v>
      </c>
    </row>
    <row r="4" spans="1:2" ht="150">
      <c r="A4" s="142"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35" t="s">
        <v>2681</v>
      </c>
    </row>
    <row r="5" spans="1:2" ht="15">
      <c r="A5" s="146"/>
      <c r="B5" s="135"/>
    </row>
    <row r="6" spans="1:2" ht="30">
      <c r="A6" s="145" t="str">
        <f ca="1">OFFSET(L!$C$1,MATCH("Instructions"&amp;ADDRESS(ROW(),COLUMN(),4),L!$A:$A,0)-1,SL,,)</f>
        <v>Instructions for completing Company Information questions (rows 8 - 22).
Provide comments in ENGLISH only</v>
      </c>
      <c r="B6" s="135" t="s">
        <v>2674</v>
      </c>
    </row>
    <row r="7" spans="1:2" ht="15">
      <c r="A7" s="142" t="str">
        <f ca="1">OFFSET(L!$C$1,MATCH("Instructions"&amp;ADDRESS(ROW(),COLUMN(),4),L!$A:$A,0)-1,SL,,)</f>
        <v xml:space="preserve">     Note:  Entries with (*) are mandatory fields. </v>
      </c>
      <c r="B7" s="135"/>
    </row>
    <row r="8" spans="1:2" ht="15">
      <c r="A8" s="142" t="str">
        <f ca="1">OFFSET(L!$C$1,MATCH("Instructions"&amp;ADDRESS(ROW(),COLUMN(),4),L!$A:$A,0)-1,SL,,)</f>
        <v>1. Insert your company's Legal Name.  Please do not use abbreviations</v>
      </c>
      <c r="B8" s="135"/>
    </row>
    <row r="9" spans="1:2" ht="389.25" customHeight="1">
      <c r="A9" s="238"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35" t="s">
        <v>2673</v>
      </c>
    </row>
    <row r="10" spans="1:2" ht="33.75" customHeight="1">
      <c r="A10" s="142" t="str">
        <f ca="1">OFFSET(L!$C$1,MATCH("Instructions"&amp;ADDRESS(ROW(),COLUMN(),4),L!$A:$A,0)-1,SL,,)</f>
        <v>3. Insert your company’s unique identifier number or code (DUNS number, VAT number, customer-specific identifier, etc.)</v>
      </c>
      <c r="B10" s="135"/>
    </row>
    <row r="11" spans="1:2" ht="21" customHeight="1">
      <c r="A11" s="142" t="str">
        <f ca="1">OFFSET(L!$C$1,MATCH("Instructions"&amp;ADDRESS(ROW(),COLUMN(),4),L!$A:$A,0)-1,SL,,)</f>
        <v xml:space="preserve">4. Insert the source for the unique identifier number or code ("DUNS", "VAT", "Customer", etc).  </v>
      </c>
      <c r="B11" s="135"/>
    </row>
    <row r="12" spans="1:2" ht="30">
      <c r="A12" s="142" t="str">
        <f ca="1">OFFSET(L!$C$1,MATCH("Instructions"&amp;ADDRESS(ROW(),COLUMN(),4),L!$A:$A,0)-1,SL,,)</f>
        <v>5. Insert your full company address (street, city, state, country, postal code).  This field is optional.</v>
      </c>
      <c r="B12" s="135" t="s">
        <v>2674</v>
      </c>
    </row>
    <row r="13" spans="1:2" ht="15">
      <c r="A13" s="142" t="str">
        <f ca="1">OFFSET(L!$C$1,MATCH("Instructions"&amp;ADDRESS(ROW(),COLUMN(),4),L!$A:$A,0)-1,SL,,)</f>
        <v>6. Insert the name of the person to contact regarding the contents of the declaration information. This field is mandatory.</v>
      </c>
      <c r="B13" s="135"/>
    </row>
    <row r="14" spans="1:2" ht="57.75" customHeight="1">
      <c r="A14" s="142" t="str">
        <f ca="1">OFFSET(L!$C$1,MATCH("Instructions"&amp;ADDRESS(ROW(),COLUMN(),4),L!$A:$A,0)-1,SL,,)</f>
        <v>7. Insert the email address of the contact person.  If an email address is not available, state ‘‘not available’’ or ‘‘n/a.’’ A blank field may cause an error in form implementation.  This field is mandatory.</v>
      </c>
      <c r="B14" s="135"/>
    </row>
    <row r="15" spans="1:2" ht="15">
      <c r="A15" s="142" t="str">
        <f ca="1">OFFSET(L!$C$1,MATCH("Instructions"&amp;ADDRESS(ROW(),COLUMN(),4),L!$A:$A,0)-1,SL,,)</f>
        <v>8. Insert the telephone number for the contact. This field is mandatory.</v>
      </c>
      <c r="B15" s="135"/>
    </row>
    <row r="16" spans="1:2" ht="45">
      <c r="A16" s="142"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35"/>
    </row>
    <row r="17" spans="1:2" ht="26.25" customHeight="1">
      <c r="A17" s="142" t="str">
        <f ca="1">OFFSET(L!$C$1,MATCH("Instructions"&amp;ADDRESS(ROW(),COLUMN(),4),L!$A:$A,0)-1,SL,,)</f>
        <v>10. Insert the title for the Authorizing person. This field is optional.</v>
      </c>
      <c r="B17" s="135"/>
    </row>
    <row r="18" spans="1:2" ht="50.25" customHeight="1">
      <c r="A18" s="142" t="str">
        <f ca="1">OFFSET(L!$C$1,MATCH("Instructions"&amp;ADDRESS(ROW(),COLUMN(),4),L!$A:$A,0)-1,SL,,)</f>
        <v>11. Insert the email address of the Authorizing person.  If an email address is not available, state ‘‘not available’’ or ‘‘n/a.’’ A blank field may cause an error in form implementation.  This field is mandatory.</v>
      </c>
      <c r="B18" s="135"/>
    </row>
    <row r="19" spans="1:2" ht="27.75" customHeight="1">
      <c r="A19" s="142" t="str">
        <f ca="1">OFFSET(L!$C$1,MATCH("Instructions"&amp;ADDRESS(ROW(),COLUMN(),4),L!$A:$A,0)-1,SL,,)</f>
        <v>12. Insert the telephone number for the Authorizing person. This field is mandatory.</v>
      </c>
      <c r="B19" s="135"/>
    </row>
    <row r="20" spans="1:2" ht="41.25" customHeight="1">
      <c r="A20" s="142" t="str">
        <f ca="1">OFFSET(L!$C$1,MATCH("Instructions"&amp;ADDRESS(ROW(),COLUMN(),4),L!$A:$A,0)-1,SL,,)</f>
        <v>13. Please enter the Date of Completion for this form using the format DD-MMM-YYYY.  This field is mandatory.</v>
      </c>
      <c r="B20" s="135"/>
    </row>
    <row r="21" spans="1:2" ht="45" customHeight="1">
      <c r="A21" s="142" t="str">
        <f ca="1">OFFSET(L!$C$1,MATCH("Instructions"&amp;ADDRESS(ROW(),COLUMN(),4),L!$A:$A,0)-1,SL,,)</f>
        <v xml:space="preserve">14. As an example, the user may save the file name as:  companyname-date.xls (date as YYYY-MM-DD).  </v>
      </c>
      <c r="B21" s="135" t="s">
        <v>2674</v>
      </c>
    </row>
    <row r="22" spans="1:2" ht="15">
      <c r="A22" s="146"/>
      <c r="B22" s="135"/>
    </row>
    <row r="23" spans="1:2" ht="30">
      <c r="A23" s="145" t="str">
        <f ca="1">OFFSET(L!$C$1,MATCH("Instructions"&amp;ADDRESS(ROW(),COLUMN(),4),L!$A:$A,0)-1,SL,,)</f>
        <v>Instructions for completing the seven Due Diligence Questions (rows 24 - 65).
Provide answers in ENGLISH only</v>
      </c>
      <c r="B23" s="135" t="s">
        <v>2674</v>
      </c>
    </row>
    <row r="24" spans="1:2" ht="99" customHeight="1">
      <c r="A24" s="142"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35" t="s">
        <v>2677</v>
      </c>
    </row>
    <row r="25" spans="1:2" ht="82.5" customHeight="1">
      <c r="A25" s="142"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35" t="s">
        <v>2674</v>
      </c>
    </row>
    <row r="26" spans="1:2" ht="156" customHeight="1">
      <c r="A26" s="142"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v>
      </c>
      <c r="B26" s="135" t="s">
        <v>2674</v>
      </c>
    </row>
    <row r="27" spans="1:2" ht="30">
      <c r="A27" s="142" t="str">
        <f ca="1">OFFSET(L!$C$1,MATCH("Instructions"&amp;ADDRESS(ROW(),COLUMN(),4),L!$A:$A,0)-1,SL,,)</f>
        <v>Some companies may require substantiation for a "No" answer that should be entered into the Comment Field.</v>
      </c>
      <c r="B27" s="135" t="s">
        <v>2674</v>
      </c>
    </row>
    <row r="28" spans="1:2" ht="229.5" customHeight="1">
      <c r="A28" s="142"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35"/>
    </row>
    <row r="29" spans="1:2" ht="147.6" customHeight="1">
      <c r="A29" s="142" t="str">
        <f ca="1">OFFSET(L!$C$1,MATCH("Instructions"&amp;ADDRESS(ROW(),COLUMN(),4),L!$A:$A,0)-1,SL,,)</f>
        <v>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v>
      </c>
      <c r="B29" s="135" t="s">
        <v>2674</v>
      </c>
    </row>
    <row r="30" spans="1:2" ht="165" customHeight="1">
      <c r="A30" s="142"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35" t="s">
        <v>2674</v>
      </c>
    </row>
    <row r="31" spans="1:2" ht="202.5" customHeight="1">
      <c r="A31" s="142"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35" t="s">
        <v>2677</v>
      </c>
    </row>
    <row r="32" spans="1:2" ht="83.25" customHeight="1">
      <c r="A32" s="142"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35"/>
    </row>
    <row r="33" spans="1:3" ht="69.75" customHeight="1">
      <c r="A33" s="142"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35" t="s">
        <v>2674</v>
      </c>
    </row>
    <row r="34" spans="1:3" ht="20.25" customHeight="1">
      <c r="A34" s="142" t="str">
        <f ca="1">OFFSET(L!$C$1,MATCH("Instructions"&amp;ADDRESS(ROW(),COLUMN(),4),L!$A:$A,0)-1,SL,,)</f>
        <v>Provide comments in the Comment sections as required to clarify your responses.</v>
      </c>
      <c r="B34" s="135"/>
    </row>
    <row r="35" spans="1:3" ht="15">
      <c r="A35" s="146"/>
      <c r="B35" s="135"/>
    </row>
    <row r="36" spans="1:3" ht="45">
      <c r="A36" s="145" t="str">
        <f ca="1">OFFSET(L!$C$1,MATCH("Instructions"&amp;ADDRESS(ROW(),COLUMN(),4),L!$A:$A,0)-1,SL,,)</f>
        <v>Instructions for completing Questions A. – J. (rows 69 - 87).  Questions A. through J. are mandatory if the response to Question 1 or 2 is “Yes” for any metal.
Provide answers in ENGLISH only</v>
      </c>
      <c r="B36" s="135" t="s">
        <v>2674</v>
      </c>
    </row>
    <row r="37" spans="1:3" ht="135">
      <c r="A37" s="142"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35" t="s">
        <v>2676</v>
      </c>
      <c r="C37"/>
    </row>
    <row r="38" spans="1:3" ht="24.75" customHeight="1">
      <c r="A38" s="142" t="str">
        <f ca="1">OFFSET(L!$C$1,MATCH("Instructions"&amp;ADDRESS(ROW(),COLUMN(),4),L!$A:$A,0)-1,SL,,)</f>
        <v xml:space="preserve">A. Please answer “Yes” or “No”.  Provide any comments, if necessary. </v>
      </c>
      <c r="B38" s="135"/>
    </row>
    <row r="39" spans="1:3" ht="21" customHeight="1">
      <c r="A39" s="142" t="str">
        <f ca="1">OFFSET(L!$C$1,MATCH("Instructions"&amp;ADDRESS(ROW(),COLUMN(),4),L!$A:$A,0)-1,SL,,)</f>
        <v>B. Please answer “Yes” or “No” If “Yes”, provide the web link in the comments section.</v>
      </c>
      <c r="B39" s="135"/>
    </row>
    <row r="40" spans="1:3" ht="63.75" customHeight="1">
      <c r="A40" s="142" t="str">
        <f ca="1">OFFSET(L!$C$1,MATCH("Instructions"&amp;ADDRESS(ROW(),COLUMN(),4),L!$A:$A,0)-1,SL,,)</f>
        <v>C. Please answer “Yes” or “No”.  Provide any comments if necessary.  See Definitions worksheet for definition of "DRC conflict -free".</v>
      </c>
      <c r="B40" s="135" t="s">
        <v>2679</v>
      </c>
    </row>
    <row r="41" spans="1:3" ht="54.75" customHeight="1">
      <c r="A41" s="142"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35" t="s">
        <v>2677</v>
      </c>
    </row>
    <row r="42" spans="1:3" ht="201.75" customHeight="1">
      <c r="A42" s="142"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35" t="s">
        <v>2678</v>
      </c>
    </row>
    <row r="43" spans="1:3" ht="65.25" customHeight="1">
      <c r="A43" s="142"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35" t="s">
        <v>2674</v>
      </c>
    </row>
    <row r="44" spans="1:3" ht="26.25" customHeight="1">
      <c r="A44" s="142" t="str">
        <f ca="1">OFFSET(L!$C$1,MATCH("Instructions"&amp;ADDRESS(ROW(),COLUMN(),4),L!$A:$A,0)-1,SL,,)</f>
        <v>G. Please answer “Yes” or “No”.  Provide any comments, if necessary.</v>
      </c>
      <c r="B44" s="135"/>
    </row>
    <row r="45" spans="1:3" ht="120">
      <c r="A45" s="142"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35" t="s">
        <v>2675</v>
      </c>
    </row>
    <row r="46" spans="1:3" ht="55.15" customHeight="1">
      <c r="A46" s="142" t="str">
        <f ca="1">OFFSET(L!$C$1,MATCH("Instructions"&amp;ADDRESS(ROW(),COLUMN(),4),L!$A:$A,0)-1,SL,,)</f>
        <v>I. Please answer “Yes” or “No”.  If “Yes”, please describe how you manage your corrective action process.</v>
      </c>
      <c r="B46" s="135" t="s">
        <v>2674</v>
      </c>
    </row>
    <row r="47" spans="1:3" ht="45">
      <c r="A47" s="142"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35" t="s">
        <v>2677</v>
      </c>
    </row>
    <row r="48" spans="1:3" ht="15">
      <c r="A48" s="146"/>
      <c r="B48" s="135"/>
    </row>
    <row r="49" spans="1:2" ht="30">
      <c r="A49" s="145" t="str">
        <f ca="1">OFFSET(L!$C$1,MATCH("Instructions"&amp;ADDRESS(ROW(),COLUMN(),4),L!$A:$A,0)-1,SL,,)</f>
        <v>Instructions for completing the Smelter List Tab.
Provide answers in ENGLISH only</v>
      </c>
      <c r="B49" s="135" t="s">
        <v>2674</v>
      </c>
    </row>
    <row r="50" spans="1:2" ht="15">
      <c r="A50" s="142" t="str">
        <f ca="1">OFFSET(L!$C$1,MATCH("Instructions"&amp;ADDRESS(ROW(),COLUMN(),4),L!$A:$A,0)-1,SL,,)</f>
        <v>Note:  Columns with (*) are mandatory fields</v>
      </c>
      <c r="B50" s="135"/>
    </row>
    <row r="51" spans="1:2" ht="69" customHeight="1">
      <c r="A51" s="142"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35" t="s">
        <v>2673</v>
      </c>
    </row>
    <row r="52" spans="1:2" ht="30">
      <c r="A52" s="142" t="str">
        <f ca="1">OFFSET(L!$C$1,MATCH("Instructions"&amp;ADDRESS(ROW(),COLUMN(),4),L!$A:$A,0)-1,SL,,)</f>
        <v>1. Metal (*)   -   Use the pull down menu to select the metal for which you are entering smelter information.  This field is mandatory.</v>
      </c>
      <c r="B52" s="135" t="s">
        <v>2674</v>
      </c>
    </row>
    <row r="53" spans="1:2" ht="85.9" customHeight="1">
      <c r="A53" s="262" t="str">
        <f ca="1">OFFSET(L!$C$1,MATCH("Instructions"&amp;ADDRESS(ROW(),COLUMN(),4),L!$A:$A,0)-1,SL,,)</f>
        <v>2. Smelter Reference List(*) - Select from dropdown.  This is the list of known smelters as of template release date.  If smelter is not listed select 'Smelter Not Listed'.  This will allow you to enter the name of the smelter in Column D.  This field is mandatory.</v>
      </c>
      <c r="B53" s="135" t="s">
        <v>2674</v>
      </c>
    </row>
    <row r="54" spans="1:2" ht="60">
      <c r="A54" s="142" t="str">
        <f ca="1">OFFSET(L!$C$1,MATCH("Instructions"&amp;ADDRESS(ROW(),COLUMN(),4),L!$A:$A,0)-1,SL,,)</f>
        <v>3. Smelter Name (*)- Fill in smelter name if you selected "Smelter Not Listed" in column C.  This field will auto-populate when a smelter name in selected in Column C.  This field is mandatory.</v>
      </c>
      <c r="B54" s="135" t="s">
        <v>2673</v>
      </c>
    </row>
    <row r="55" spans="1:2" ht="75">
      <c r="A55" s="142" t="str">
        <f ca="1">OFFSET(L!$C$1,MATCH("Instructions"&amp;ADDRESS(ROW(),COLUMN(),4),L!$A:$A,0)-1,SL,,)</f>
        <v>4. Smelter Country (*) – This field will auto-populate when a smelter name is selected in column C. If you selected "Smelter Not Listed" in column C, use the pull down menu to select the country location of the smelter.  This field is mandatory.</v>
      </c>
      <c r="B55" s="135" t="s">
        <v>2679</v>
      </c>
    </row>
    <row r="56" spans="1:2" ht="60">
      <c r="A56" s="142" t="str">
        <f ca="1">OFFSET(L!$C$1,MATCH("Instructions"&amp;ADDRESS(ROW(),COLUMN(),4),L!$A:$A,0)-1,SL,,)</f>
        <v>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35" t="s">
        <v>2673</v>
      </c>
    </row>
    <row r="57" spans="1:2" ht="60">
      <c r="A57" s="142" t="str">
        <f ca="1">OFFSET(L!$C$1,MATCH("Instructions"&amp;ADDRESS(ROW(),COLUMN(),4),L!$A:$A,0)-1,SL,,)</f>
        <v xml:space="preserve">6. Source of Smelter Identification Number - This is the source of the Smelter Identification Number entered in Column F.  If a smelter name was selected in Column C using the dropdown box, this field will auto-populate. </v>
      </c>
      <c r="B57" s="135" t="s">
        <v>2673</v>
      </c>
    </row>
    <row r="58" spans="1:2" ht="60">
      <c r="A58" s="142" t="str">
        <f ca="1">OFFSET(L!$C$1,MATCH("Instructions"&amp;ADDRESS(ROW(),COLUMN(),4),L!$A:$A,0)-1,SL,,)</f>
        <v>7. Smelter Street -  Provide the street name on which the smelter is located. This field is optional.</v>
      </c>
      <c r="B58" s="135" t="s">
        <v>2673</v>
      </c>
    </row>
    <row r="59" spans="1:2" ht="30">
      <c r="A59" s="142" t="str">
        <f ca="1">OFFSET(L!$C$1,MATCH("Instructions"&amp;ADDRESS(ROW(),COLUMN(),4),L!$A:$A,0)-1,SL,,)</f>
        <v>8. Smelter City – Provide the city name of where the smelter is located. This field is optional.</v>
      </c>
      <c r="B59" s="135" t="s">
        <v>2674</v>
      </c>
    </row>
    <row r="60" spans="1:2" ht="45">
      <c r="A60" s="142" t="str">
        <f ca="1">OFFSET(L!$C$1,MATCH("Instructions"&amp;ADDRESS(ROW(),COLUMN(),4),L!$A:$A,0)-1,SL,,)</f>
        <v>9. Smelter Location: State/Province, if applicable – Provide the state or province where the smelter is located. This field is optional.</v>
      </c>
      <c r="B60" s="135" t="s">
        <v>2677</v>
      </c>
    </row>
    <row r="61" spans="1:2" ht="215.45" customHeight="1">
      <c r="A61" s="142" t="str">
        <f ca="1">OFFSET(L!$C$1,MATCH("Instructions"&amp;ADDRESS(ROW(),COLUMN(),4),L!$A:$A,0)-1,SL,,)</f>
        <v>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35" t="s">
        <v>2677</v>
      </c>
    </row>
    <row r="62" spans="1:2" ht="60">
      <c r="A62" s="142" t="str">
        <f ca="1">OFFSET(L!$C$1,MATCH("Instructions"&amp;ADDRESS(ROW(),COLUMN(),4),L!$A:$A,0)-1,SL,,)</f>
        <v>11. Smelter Contact Email – Fill in the email address of the Smelter Facility contact person who was identified as the Smelter Contact Name.  Example: John.Smith@SmelterXXX.com.  Please review the instructions for Smelter Contact Name before completing this field.</v>
      </c>
      <c r="B62" s="135" t="s">
        <v>2673</v>
      </c>
    </row>
    <row r="63" spans="1:2" ht="65.25" customHeight="1">
      <c r="A63" s="142" t="str">
        <f ca="1">OFFSET(L!$C$1,MATCH("Instructions"&amp;ADDRESS(ROW(),COLUMN(),4),L!$A:$A,0)-1,SL,,)</f>
        <v>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v>
      </c>
      <c r="B63" s="135" t="s">
        <v>2673</v>
      </c>
    </row>
    <row r="64" spans="1:2" ht="72.599999999999994" customHeight="1">
      <c r="A64" s="142"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4" s="135"/>
    </row>
    <row r="65" spans="1:15" ht="60">
      <c r="A65" s="142"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5" s="135"/>
    </row>
    <row r="66" spans="1:15" ht="66.599999999999994" customHeight="1">
      <c r="A66" s="142"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35"/>
    </row>
    <row r="67" spans="1:15" ht="36" customHeight="1">
      <c r="A67" s="142" t="str">
        <f ca="1">OFFSET(L!$C$1,MATCH("Instructions"&amp;ADDRESS(ROW(),COLUMN(),4),L!$A:$A,0)-1,SL,,)</f>
        <v>16. Comments – free form text field to enter any comments concerning the smelter.  Example: smelter is being acquired by Company YYY</v>
      </c>
      <c r="B67" s="135"/>
    </row>
    <row r="68" spans="1:15" s="28" customFormat="1" ht="15">
      <c r="A68" s="147"/>
      <c r="B68" s="135"/>
      <c r="C68" s="134"/>
      <c r="D68"/>
      <c r="E68"/>
      <c r="F68"/>
      <c r="G68"/>
      <c r="H68"/>
      <c r="I68"/>
      <c r="J68"/>
      <c r="K68"/>
      <c r="L68"/>
      <c r="M68"/>
      <c r="N68"/>
      <c r="O68"/>
    </row>
    <row r="69" spans="1:15" s="28" customFormat="1" ht="115.15" customHeight="1">
      <c r="A69" s="145"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35"/>
      <c r="C69" s="134"/>
      <c r="D69"/>
      <c r="E69"/>
      <c r="F69"/>
      <c r="G69"/>
      <c r="H69"/>
      <c r="I69"/>
      <c r="J69"/>
      <c r="K69"/>
      <c r="L69"/>
      <c r="M69"/>
      <c r="N69"/>
      <c r="O69"/>
    </row>
    <row r="70" spans="1:15" s="28" customFormat="1" ht="15">
      <c r="A70" s="147"/>
      <c r="B70" s="135"/>
      <c r="C70" s="134"/>
      <c r="D70"/>
      <c r="E70"/>
      <c r="F70"/>
      <c r="G70"/>
      <c r="H70"/>
      <c r="I70"/>
      <c r="J70"/>
      <c r="K70"/>
      <c r="L70"/>
      <c r="M70"/>
      <c r="N70"/>
      <c r="O70"/>
    </row>
    <row r="71" spans="1:15" ht="30">
      <c r="A71" s="145" t="str">
        <f ca="1">OFFSET(L!$C$1,MATCH("Instructions"&amp;ADDRESS(ROW(),COLUMN(),4),L!$A:$A,0)-1,SL,,)</f>
        <v>TERMS AND CONDITIONS</v>
      </c>
      <c r="B71" s="135" t="s">
        <v>2674</v>
      </c>
    </row>
    <row r="72" spans="1:15" ht="181.5" customHeight="1">
      <c r="A72" s="142"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35" t="s">
        <v>2680</v>
      </c>
    </row>
    <row r="73" spans="1:15" ht="99.75" customHeight="1">
      <c r="A73" s="142"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35" t="s">
        <v>2678</v>
      </c>
    </row>
    <row r="74" spans="1:15" ht="96" customHeight="1">
      <c r="A74" s="142"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35" t="s">
        <v>2679</v>
      </c>
    </row>
    <row r="75" spans="1:15" ht="176.25" customHeight="1">
      <c r="A75" s="142"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35" t="s">
        <v>2680</v>
      </c>
    </row>
    <row r="76" spans="1:15" ht="60">
      <c r="A76" s="142"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35" t="s">
        <v>2673</v>
      </c>
    </row>
    <row r="77" spans="1:15" ht="30">
      <c r="A77" s="142" t="str">
        <f ca="1">OFFSET(L!$C$1,MATCH("Instructions"&amp;ADDRESS(ROW(),COLUMN(),4),L!$A:$A,0)-1,SL,,)</f>
        <v xml:space="preserve">By accessing and using the List or any Tool, and in consideration thereof, the User agrees to the foregoing. </v>
      </c>
      <c r="B77" s="135" t="s">
        <v>2674</v>
      </c>
    </row>
    <row r="78" spans="1:15" ht="30">
      <c r="A78" s="142" t="str">
        <f ca="1">OFFSET(L!$C$1,MATCH("General"&amp;"Cpy",L!$A:$A,0)-1,SL,,)</f>
        <v>© 2015 Conflict-Free Sourcing Initiative. All rights reserved.</v>
      </c>
      <c r="B78" s="135" t="s">
        <v>944</v>
      </c>
    </row>
    <row r="79" spans="1:15" ht="15">
      <c r="A79" s="143" t="s">
        <v>2066</v>
      </c>
      <c r="B79" s="136"/>
    </row>
    <row r="80" spans="1:15" ht="15">
      <c r="A80" s="199" t="s">
        <v>4603</v>
      </c>
      <c r="B80" s="136"/>
    </row>
  </sheetData>
  <sheetProtection password="E815" sheet="1" formatColumns="0" formatRows="0"/>
  <customSheetViews>
    <customSheetView guid="{81CF54B1-70AB-4A68-BB72-21925B5D4874}" hiddenColumns="1">
      <selection activeCell="C3" sqref="C3:G3"/>
      <pageMargins left="0.7" right="0.7" top="0.75" bottom="0.75" header="0.3" footer="0.3"/>
    </customSheetView>
  </customSheetViews>
  <phoneticPr fontId="31"/>
  <hyperlinks>
    <hyperlink ref="A79"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sqref="A1:D1"/>
    </sheetView>
  </sheetViews>
  <sheetFormatPr defaultColWidth="8.75" defaultRowHeight="12.75"/>
  <cols>
    <col min="1" max="1" width="1.625" style="134" customWidth="1"/>
    <col min="2" max="2" width="35.5" style="134" customWidth="1"/>
    <col min="3" max="3" width="105.5" style="134" customWidth="1"/>
    <col min="4" max="5" width="1.625" style="134" customWidth="1"/>
    <col min="6" max="6" width="4.5" style="134" customWidth="1"/>
    <col min="7" max="7" width="4.875" style="134" customWidth="1"/>
    <col min="8" max="16384" width="8.75" style="134"/>
  </cols>
  <sheetData>
    <row r="1" spans="1:5" ht="13.5" thickTop="1">
      <c r="A1" s="331"/>
      <c r="B1" s="332"/>
      <c r="C1" s="332"/>
      <c r="D1" s="333"/>
    </row>
    <row r="2" spans="1:5" ht="70.150000000000006" customHeight="1">
      <c r="A2" s="103"/>
      <c r="B2" s="197" t="str">
        <f ca="1">OFFSET(L!$C$1,MATCH("Definitions"&amp;ADDRESS(ROW(),COLUMN(),4),L!$A:$A,0)-1,SL,,)</f>
        <v>ITEM</v>
      </c>
      <c r="C2" s="197" t="str">
        <f ca="1">OFFSET(L!$C$1,MATCH("Definitions"&amp;ADDRESS(ROW(),COLUMN(),4),L!$A:$A,0)-1,SL,,)</f>
        <v>DEFINITION</v>
      </c>
      <c r="D2" s="335"/>
      <c r="E2" s="148"/>
    </row>
    <row r="3" spans="1:5" ht="45">
      <c r="A3" s="103"/>
      <c r="B3" s="89" t="str">
        <f ca="1">OFFSET(L!$C$1,MATCH("Definitions"&amp;ADDRESS(ROW(),COLUMN(),4),L!$A:$A,0)-1,SL,,)</f>
        <v>3TG</v>
      </c>
      <c r="C3" s="89" t="str">
        <f ca="1">OFFSET(L!$C$1,MATCH("Definitions"&amp;ADDRESS(ROW(),COLUMN(),4),L!$A:$A,0)-1,SL,,)</f>
        <v>Tantalum, tin, tungsten, gold</v>
      </c>
      <c r="D3" s="335"/>
      <c r="E3" s="149" t="s">
        <v>2682</v>
      </c>
    </row>
    <row r="4" spans="1:5" ht="64.5" customHeight="1">
      <c r="A4" s="103"/>
      <c r="B4" s="89" t="str">
        <f ca="1">OFFSET(L!$C$1,MATCH("Definitions"&amp;ADDRESS(ROW(),COLUMN(),4),L!$A:$A,0)-1,SL,,)</f>
        <v>Authorizer</v>
      </c>
      <c r="C4" s="89"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5"/>
      <c r="E4" s="149"/>
    </row>
    <row r="5" spans="1:5" ht="153.75" customHeight="1">
      <c r="A5" s="103"/>
      <c r="B5" s="89" t="str">
        <f ca="1">OFFSET(L!$C$1,MATCH("Definitions"&amp;ADDRESS(ROW(),COLUMN(),4),L!$A:$A,0)-1,SL,,)</f>
        <v>CFSP Compliant Smelter List</v>
      </c>
      <c r="C5" s="89"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5"/>
      <c r="E5" s="149" t="s">
        <v>2683</v>
      </c>
    </row>
    <row r="6" spans="1:5" ht="78.75" customHeight="1">
      <c r="A6" s="103"/>
      <c r="B6" s="89" t="str">
        <f ca="1">OFFSET(L!$C$1,MATCH("Definitions"&amp;ADDRESS(ROW(),COLUMN(),4),L!$A:$A,0)-1,SL,,)</f>
        <v>Conflict-Free Smelter Program (CFSP)</v>
      </c>
      <c r="C6" s="89"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5"/>
      <c r="E6" s="149" t="s">
        <v>2683</v>
      </c>
    </row>
    <row r="7" spans="1:5" ht="188.25" customHeight="1">
      <c r="A7" s="103"/>
      <c r="B7" s="89" t="str">
        <f ca="1">OFFSET(L!$C$1,MATCH("Definitions"&amp;ADDRESS(ROW(),COLUMN(),4),L!$A:$A,0)-1,SL,,)</f>
        <v>Conflict-Free Sourcing Initiative</v>
      </c>
      <c r="C7" s="89"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5"/>
      <c r="E7" s="149" t="s">
        <v>2686</v>
      </c>
    </row>
    <row r="8" spans="1:5" ht="132" customHeight="1">
      <c r="A8" s="103"/>
      <c r="B8" s="89" t="str">
        <f ca="1">OFFSET(L!$C$1,MATCH("Definitions"&amp;ADDRESS(ROW(),COLUMN(),4),L!$A:$A,0)-1,SL,,)</f>
        <v>Conflict Mineral</v>
      </c>
      <c r="C8" s="89"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5"/>
      <c r="E8" s="149" t="s">
        <v>2683</v>
      </c>
    </row>
    <row r="9" spans="1:5" ht="90.75" customHeight="1">
      <c r="A9" s="103"/>
      <c r="B9" s="89" t="str">
        <f ca="1">OFFSET(L!$C$1,MATCH("Definitions"&amp;ADDRESS(ROW(),COLUMN(),4),L!$A:$A,0)-1,SL,,)</f>
        <v>Covered Country(ies)</v>
      </c>
      <c r="C9" s="89"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5"/>
      <c r="E9" s="149" t="s">
        <v>2682</v>
      </c>
    </row>
    <row r="10" spans="1:5" ht="110.25" customHeight="1">
      <c r="A10" s="103"/>
      <c r="B10" s="89" t="str">
        <f ca="1">OFFSET(L!$C$1,MATCH("Definitions"&amp;ADDRESS(ROW(),COLUMN(),4),L!$A:$A,0)-1,SL,,)</f>
        <v>Declaration Scope or Class</v>
      </c>
      <c r="C10" s="89"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5"/>
      <c r="E10" s="149" t="s">
        <v>2682</v>
      </c>
    </row>
    <row r="11" spans="1:5" ht="59.25" customHeight="1">
      <c r="A11" s="103"/>
      <c r="B11" s="89" t="str">
        <f ca="1">OFFSET(L!$C$1,MATCH("Definitions"&amp;ADDRESS(ROW(),COLUMN(),4),L!$A:$A,0)-1,SL,,)</f>
        <v>Dodd-Frank</v>
      </c>
      <c r="C11" s="89" t="str">
        <f ca="1">OFFSET(L!$C$1,MATCH("Definitions"&amp;ADDRESS(ROW(),COLUMN(),4),L!$A:$A,0)-1,SL,,)</f>
        <v>2010 United States legislation, Dodd-Frank Wall Street Reform and Consumer Protection Act, Section 1502 (“Dodd-Frank”) (http://www.sec.gov/about/laws/wallstreetreform-cpa.pdf)</v>
      </c>
      <c r="D11" s="335"/>
      <c r="E11" s="149" t="s">
        <v>2682</v>
      </c>
    </row>
    <row r="12" spans="1:5" ht="30" customHeight="1">
      <c r="A12" s="103"/>
      <c r="B12" s="89" t="str">
        <f ca="1">OFFSET(L!$C$1,MATCH("Definitions"&amp;ADDRESS(ROW(),COLUMN(),4),L!$A:$A,0)-1,SL,,)</f>
        <v>DRC</v>
      </c>
      <c r="C12" s="89" t="str">
        <f ca="1">OFFSET(L!$C$1,MATCH("Definitions"&amp;ADDRESS(ROW(),COLUMN(),4),L!$A:$A,0)-1,SL,,)</f>
        <v>Democratic Republic of Congo</v>
      </c>
      <c r="D12" s="335"/>
      <c r="E12" s="149" t="s">
        <v>2684</v>
      </c>
    </row>
    <row r="13" spans="1:5" ht="76.5" customHeight="1">
      <c r="A13" s="103"/>
      <c r="B13" s="89" t="str">
        <f ca="1">OFFSET(L!$C$1,MATCH("Definitions"&amp;ADDRESS(ROW(),COLUMN(),4),L!$A:$A,0)-1,SL,,)</f>
        <v>DRC conflict-free</v>
      </c>
      <c r="C13" s="89"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5"/>
      <c r="E13" s="149" t="s">
        <v>2682</v>
      </c>
    </row>
    <row r="14" spans="1:5" ht="24.75" customHeight="1">
      <c r="A14" s="103"/>
      <c r="B14" s="89" t="str">
        <f ca="1">OFFSET(L!$C$1,MATCH("Definitions"&amp;ADDRESS(ROW(),COLUMN(),4),L!$A:$A,0)-1,SL,,)</f>
        <v>EICC</v>
      </c>
      <c r="C14" s="89" t="str">
        <f ca="1">OFFSET(L!$C$1,MATCH("Definitions"&amp;ADDRESS(ROW(),COLUMN(),4),L!$A:$A,0)-1,SL,,)</f>
        <v>Electronic Industry Citizenship Coalition (www.eicc.info)</v>
      </c>
      <c r="D14" s="335"/>
      <c r="E14" s="149" t="s">
        <v>2682</v>
      </c>
    </row>
    <row r="15" spans="1:5" ht="33.75" customHeight="1">
      <c r="A15" s="103"/>
      <c r="B15" s="89" t="str">
        <f ca="1">OFFSET(L!$C$1,MATCH("Definitions"&amp;ADDRESS(ROW(),COLUMN(),4),L!$A:$A,0)-1,SL,,)</f>
        <v xml:space="preserve">GeSI </v>
      </c>
      <c r="C15" s="89" t="str">
        <f ca="1">OFFSET(L!$C$1,MATCH("Definitions"&amp;ADDRESS(ROW(),COLUMN(),4),L!$A:$A,0)-1,SL,,)</f>
        <v>Global e-Sustainability Initiative (www.gesi.org)</v>
      </c>
      <c r="D15" s="335"/>
      <c r="E15" s="149" t="s">
        <v>2682</v>
      </c>
    </row>
    <row r="16" spans="1:5" ht="84.75" customHeight="1">
      <c r="A16" s="103"/>
      <c r="B16" s="89" t="str">
        <f ca="1">OFFSET(L!$C$1,MATCH("Definitions"&amp;ADDRESS(ROW(),COLUMN(),4),L!$A:$A,0)-1,SL,,)</f>
        <v>Gold (Au) refiner (smelter)</v>
      </c>
      <c r="C16" s="89"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5"/>
      <c r="E16" s="149" t="s">
        <v>2682</v>
      </c>
    </row>
    <row r="17" spans="1:5" ht="96.75" customHeight="1">
      <c r="A17" s="103"/>
      <c r="B17" s="89" t="str">
        <f ca="1">OFFSET(L!$C$1,MATCH("Definitions"&amp;ADDRESS(ROW(),COLUMN(),4),L!$A:$A,0)-1,SL,,)</f>
        <v>Independent Third-Party Audit Firm</v>
      </c>
      <c r="C17" s="89"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5"/>
      <c r="E17" s="149" t="s">
        <v>2682</v>
      </c>
    </row>
    <row r="18" spans="1:5" ht="341.25" customHeight="1">
      <c r="A18" s="103"/>
      <c r="B18" s="89" t="str">
        <f ca="1">OFFSET(L!$C$1,MATCH("Definitions"&amp;ADDRESS(ROW(),COLUMN(),4),L!$A:$A,0)-1,SL,,)</f>
        <v>Intentionally added</v>
      </c>
      <c r="C18" s="89"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5"/>
      <c r="E18" s="149"/>
    </row>
    <row r="19" spans="1:5" ht="153.75" customHeight="1">
      <c r="A19" s="103"/>
      <c r="B19" s="89" t="str">
        <f ca="1">OFFSET(L!$C$1,MATCH("Definitions"&amp;ADDRESS(ROW(),COLUMN(),4),L!$A:$A,0)-1,SL,,)</f>
        <v>IPC</v>
      </c>
      <c r="C19" s="89"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5"/>
      <c r="E19" s="149"/>
    </row>
    <row r="20" spans="1:5" ht="93" customHeight="1">
      <c r="A20" s="103"/>
      <c r="B20" s="89" t="str">
        <f ca="1">OFFSET(L!$C$1,MATCH("Definitions"&amp;ADDRESS(ROW(),COLUMN(),4),L!$A:$A,0)-1,SL,,)</f>
        <v>IPC-1755 Conflict Minerals Data Exchange Standard</v>
      </c>
      <c r="C20" s="89"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5"/>
      <c r="E20" s="149"/>
    </row>
    <row r="21" spans="1:5" ht="154.5" customHeight="1">
      <c r="A21" s="103"/>
      <c r="B21" s="89" t="str">
        <f ca="1">OFFSET(L!$C$1,MATCH("Definitions"&amp;ADDRESS(ROW(),COLUMN(),4),L!$A:$A,0)-1,SL,,)</f>
        <v>Necessary for the Functionality of a Product</v>
      </c>
      <c r="C21" s="89"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5"/>
      <c r="E21" s="149"/>
    </row>
    <row r="22" spans="1:5" ht="168.75" customHeight="1">
      <c r="A22" s="103"/>
      <c r="B22" s="89" t="str">
        <f ca="1">OFFSET(L!$C$1,MATCH("Definitions"&amp;ADDRESS(ROW(),COLUMN(),4),L!$A:$A,0)-1,SL,,)</f>
        <v>Necessary for the Production of a Product</v>
      </c>
      <c r="C22" s="89"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5"/>
      <c r="E22" s="149"/>
    </row>
    <row r="23" spans="1:5" ht="27.75" customHeight="1">
      <c r="A23" s="103"/>
      <c r="B23" s="89" t="str">
        <f ca="1">OFFSET(L!$C$1,MATCH("Definitions"&amp;ADDRESS(ROW(),COLUMN(),4),L!$A:$A,0)-1,SL,,)</f>
        <v>OECD</v>
      </c>
      <c r="C23" s="89" t="str">
        <f ca="1">OFFSET(L!$C$1,MATCH("Definitions"&amp;ADDRESS(ROW(),COLUMN(),4),L!$A:$A,0)-1,SL,,)</f>
        <v>Organisation for Economic Co-operation and Development</v>
      </c>
      <c r="D23" s="335"/>
      <c r="E23" s="149"/>
    </row>
    <row r="24" spans="1:5" ht="61.5" customHeight="1">
      <c r="A24" s="103"/>
      <c r="B24" s="89" t="str">
        <f ca="1">OFFSET(L!$C$1,MATCH("Definitions"&amp;ADDRESS(ROW(),COLUMN(),4),L!$A:$A,0)-1,SL,,)</f>
        <v>Product</v>
      </c>
      <c r="C24" s="89" t="str">
        <f ca="1">OFFSET(L!$C$1,MATCH("Definitions"&amp;ADDRESS(ROW(),COLUMN(),4),L!$A:$A,0)-1,SL,,)</f>
        <v>A company’s Product or Finished good is a material or item which has completed the final stage of manufacturing and/or processing and is available for distribution or sale to customers.</v>
      </c>
      <c r="D24" s="335"/>
      <c r="E24" s="149" t="s">
        <v>2682</v>
      </c>
    </row>
    <row r="25" spans="1:5" ht="117.75" customHeight="1">
      <c r="A25" s="103"/>
      <c r="B25" s="89" t="str">
        <f ca="1">OFFSET(L!$C$1,MATCH("Definitions"&amp;ADDRESS(ROW(),COLUMN(),4),L!$A:$A,0)-1,SL,,)</f>
        <v>Recycled or Scrap Sources</v>
      </c>
      <c r="C25" s="89"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5"/>
      <c r="E25" s="149" t="s">
        <v>2684</v>
      </c>
    </row>
    <row r="26" spans="1:5" ht="30" customHeight="1">
      <c r="A26" s="103"/>
      <c r="B26" s="89" t="str">
        <f ca="1">OFFSET(L!$C$1,MATCH("Definitions"&amp;ADDRESS(ROW(),COLUMN(),4),L!$A:$A,0)-1,SL,,)</f>
        <v>SEC</v>
      </c>
      <c r="C26" s="89" t="str">
        <f ca="1">OFFSET(L!$C$1,MATCH("Definitions"&amp;ADDRESS(ROW(),COLUMN(),4),L!$A:$A,0)-1,SL,,)</f>
        <v>U.S. Securities and Exchange Commission (www.sec.gov)</v>
      </c>
      <c r="D26" s="335"/>
      <c r="E26" s="149" t="s">
        <v>2682</v>
      </c>
    </row>
    <row r="27" spans="1:5" ht="101.25" customHeight="1">
      <c r="A27" s="103"/>
      <c r="B27" s="89" t="str">
        <f ca="1">OFFSET(L!$C$1,MATCH("Definitions"&amp;ADDRESS(ROW(),COLUMN(),4),L!$A:$A,0)-1,SL,,)</f>
        <v>Smelter</v>
      </c>
      <c r="C27" s="89"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5"/>
      <c r="E27" s="149" t="s">
        <v>2683</v>
      </c>
    </row>
    <row r="28" spans="1:5" ht="71.25" customHeight="1">
      <c r="A28" s="103"/>
      <c r="B28" s="89" t="str">
        <f ca="1">OFFSET(L!$C$1,MATCH("Definitions"&amp;ADDRESS(ROW(),COLUMN(),4),L!$A:$A,0)-1,SL,,)</f>
        <v>Smelter Identification Number</v>
      </c>
      <c r="C28" s="89"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5"/>
      <c r="E28" s="149" t="s">
        <v>2684</v>
      </c>
    </row>
    <row r="29" spans="1:5" ht="112.5" customHeight="1">
      <c r="A29" s="103"/>
      <c r="B29" s="89" t="str">
        <f ca="1">OFFSET(L!$C$1,MATCH("Definitions"&amp;ADDRESS(ROW(),COLUMN(),4),L!$A:$A,0)-1,SL,,)</f>
        <v>Tantalum (Ta) smelter</v>
      </c>
      <c r="C29" s="89"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5"/>
      <c r="E29" s="149" t="s">
        <v>2685</v>
      </c>
    </row>
    <row r="30" spans="1:5" ht="121.5" customHeight="1">
      <c r="A30" s="103"/>
      <c r="B30" s="89" t="str">
        <f ca="1">OFFSET(L!$C$1,MATCH("Definitions"&amp;ADDRESS(ROW(),COLUMN(),4),L!$A:$A,0)-1,SL,,)</f>
        <v>Tin (Sn) smelter</v>
      </c>
      <c r="C30" s="89"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5"/>
      <c r="E30" s="149"/>
    </row>
    <row r="31" spans="1:5" ht="129.75" customHeight="1">
      <c r="A31" s="103"/>
      <c r="B31" s="89" t="str">
        <f ca="1">OFFSET(L!$C$1,MATCH("Definitions"&amp;ADDRESS(ROW(),COLUMN(),4),L!$A:$A,0)-1,SL,,)</f>
        <v>Tungsten (W) smelter</v>
      </c>
      <c r="C31" s="89"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5"/>
      <c r="E31" s="149"/>
    </row>
    <row r="32" spans="1:5" ht="21.75" customHeight="1">
      <c r="A32" s="103"/>
      <c r="B32" s="334" t="str">
        <f ca="1">OFFSET(L!$C$1,MATCH("General"&amp;"Cpy",L!$A:$A,0)-1,SL,,)</f>
        <v>© 2015 Conflict-Free Sourcing Initiative. All rights reserved.</v>
      </c>
      <c r="C32" s="334"/>
      <c r="D32" s="335"/>
      <c r="E32" s="149"/>
    </row>
    <row r="33" spans="1:4" ht="13.5" thickBot="1">
      <c r="A33" s="104"/>
      <c r="B33" s="253"/>
      <c r="C33" s="253"/>
      <c r="D33" s="336"/>
    </row>
    <row r="34" spans="1:4" ht="13.5" thickTop="1"/>
  </sheetData>
  <sheetProtection password="E815" sheet="1"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opLeftCell="A57" zoomScale="70" zoomScaleNormal="70" workbookViewId="0">
      <selection activeCell="G71" sqref="G71:J71"/>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34" customWidth="1"/>
    <col min="13" max="15" width="4.875" style="134" customWidth="1"/>
    <col min="16" max="20" width="9.125" hidden="1" customWidth="1"/>
    <col min="21" max="24" width="9.125" customWidth="1"/>
  </cols>
  <sheetData>
    <row r="1" spans="1:34" ht="15.75" thickTop="1">
      <c r="A1" s="356"/>
      <c r="B1" s="357"/>
      <c r="C1" s="357"/>
      <c r="D1" s="357"/>
      <c r="E1" s="357"/>
      <c r="F1" s="357"/>
      <c r="G1" s="357"/>
      <c r="H1" s="357"/>
      <c r="I1" s="357"/>
      <c r="J1" s="357"/>
      <c r="K1" s="358"/>
      <c r="L1" s="160"/>
      <c r="M1" s="151"/>
      <c r="N1" s="151"/>
      <c r="O1" s="152"/>
      <c r="P1" s="12"/>
      <c r="Q1" s="12"/>
      <c r="R1" s="12"/>
      <c r="S1" s="12"/>
      <c r="T1" s="12"/>
      <c r="U1" s="12"/>
      <c r="V1" s="12"/>
      <c r="W1" s="12"/>
      <c r="X1" s="12"/>
      <c r="Y1" s="12"/>
      <c r="Z1" s="12"/>
      <c r="AA1" s="12"/>
      <c r="AB1" s="12"/>
      <c r="AC1" s="12"/>
      <c r="AD1" s="12"/>
      <c r="AE1" s="12"/>
      <c r="AF1" s="12"/>
      <c r="AG1" s="12"/>
      <c r="AH1" s="12"/>
    </row>
    <row r="2" spans="1:34" ht="82.15" customHeight="1">
      <c r="A2" s="56"/>
      <c r="B2" s="196"/>
      <c r="C2" s="57"/>
      <c r="D2" s="359" t="str">
        <f ca="1">OFFSET(L!$C$1,MATCH("Declaration"&amp;ADDRESS(ROW(),COLUMN(),4),L!$A:$A,0)-1,SL,,)</f>
        <v>Conflict Minerals Reporting Template (CMRT)</v>
      </c>
      <c r="E2" s="360"/>
      <c r="F2" s="360"/>
      <c r="G2" s="360"/>
      <c r="H2" s="360"/>
      <c r="I2" s="360"/>
      <c r="J2" s="361"/>
      <c r="K2" s="58"/>
      <c r="L2" s="161"/>
      <c r="M2" s="153"/>
      <c r="N2" s="154"/>
      <c r="O2" s="154"/>
      <c r="P2" s="12"/>
      <c r="Q2" s="12"/>
      <c r="R2" s="12"/>
      <c r="S2" s="12"/>
      <c r="T2" s="12"/>
      <c r="U2" s="12"/>
      <c r="V2" s="12"/>
      <c r="W2" s="12"/>
      <c r="X2" s="12"/>
      <c r="Y2" s="12"/>
      <c r="Z2" s="12"/>
      <c r="AA2" s="12"/>
      <c r="AB2" s="12"/>
      <c r="AC2" s="12"/>
      <c r="AD2" s="12"/>
      <c r="AE2" s="12"/>
      <c r="AF2" s="12"/>
      <c r="AG2" s="12"/>
      <c r="AH2" s="12"/>
    </row>
    <row r="3" spans="1:34" ht="124.9" customHeight="1">
      <c r="A3" s="56"/>
      <c r="B3" s="195" t="s">
        <v>2507</v>
      </c>
      <c r="C3" s="18"/>
      <c r="D3" s="59" t="s">
        <v>1637</v>
      </c>
      <c r="E3" s="12"/>
      <c r="F3" s="373" t="str">
        <f ca="1">IF(AND($D$8="",$I$3=""),"",OFFSET(L!$C$1,MATCH("Declaration"&amp;ADDRESS(ROW(),COLUMN(),4),L!$A:$A,0)-1,SL,,))</f>
        <v>Click here to check required fields completion</v>
      </c>
      <c r="G3" s="373"/>
      <c r="H3" s="373"/>
      <c r="I3" s="252" t="str">
        <f ca="1">IF(AND(Checker!D2&lt;&gt;47,VALUE(Checker!D2)&gt;0),OFFSET(L!$C$1,MATCH("Declaration"&amp;ADDRESS(ROW(),COLUMN(),4),L!$A:$A,0)-1,SL,,),"")</f>
        <v/>
      </c>
      <c r="J3" s="198" t="s">
        <v>4601</v>
      </c>
      <c r="K3" s="58"/>
      <c r="L3" s="160"/>
      <c r="M3" s="151"/>
      <c r="N3" s="151"/>
      <c r="O3" s="152"/>
      <c r="P3" s="165">
        <f>MATCH($D$3,LN,0)</f>
        <v>1</v>
      </c>
    </row>
    <row r="4" spans="1:34" ht="15.75">
      <c r="A4" s="56"/>
      <c r="B4" s="368" t="str">
        <f ca="1">OFFSET(L!$C$1,MATCH("Declaration"&amp;ADDRESS(ROW(),COLUMN(),4),L!$A:$A,0)-1,SL,,)</f>
        <v>The purpose of this document is to collect sourcing information on tin, tantalum, tungsten and gold used in products</v>
      </c>
      <c r="C4" s="368"/>
      <c r="D4" s="368"/>
      <c r="E4" s="368"/>
      <c r="F4" s="368"/>
      <c r="G4" s="368"/>
      <c r="H4" s="368"/>
      <c r="I4" s="374" t="str">
        <f ca="1">OFFSET(L!$C$1,MATCH("Declaration"&amp;ADDRESS(ROW(),COLUMN(),4),L!$A:$A,0)-1,SL,,)</f>
        <v>Link to Terms &amp; Conditions</v>
      </c>
      <c r="J4" s="374"/>
      <c r="K4" s="58"/>
      <c r="L4" s="162"/>
      <c r="M4" s="151"/>
      <c r="N4" s="151"/>
      <c r="O4" s="152"/>
      <c r="P4" s="12"/>
      <c r="Q4" s="12"/>
      <c r="R4" s="12"/>
      <c r="S4" s="12"/>
      <c r="T4" s="12"/>
      <c r="U4" s="12"/>
      <c r="V4" s="12"/>
      <c r="W4" s="12"/>
      <c r="X4" s="12"/>
      <c r="Y4" s="12"/>
      <c r="Z4" s="12"/>
      <c r="AA4" s="12"/>
      <c r="AB4" s="12"/>
      <c r="AC4" s="12"/>
      <c r="AD4" s="12"/>
      <c r="AE4" s="12"/>
      <c r="AF4" s="12"/>
      <c r="AG4" s="12"/>
      <c r="AH4" s="12"/>
    </row>
    <row r="5" spans="1:34" ht="15">
      <c r="A5" s="194" t="str">
        <f>LEFT(D9,1)</f>
        <v>A</v>
      </c>
      <c r="B5" s="19"/>
      <c r="C5" s="19"/>
      <c r="D5" s="19"/>
      <c r="E5" s="19"/>
      <c r="F5" s="19"/>
      <c r="G5" s="19"/>
      <c r="H5" s="19"/>
      <c r="I5" s="19"/>
      <c r="J5" s="19"/>
      <c r="K5" s="58"/>
      <c r="L5" s="162"/>
      <c r="M5" s="155"/>
      <c r="N5" s="155"/>
      <c r="O5" s="155"/>
      <c r="P5" s="17"/>
      <c r="Q5" s="17"/>
      <c r="R5" s="17"/>
      <c r="S5" s="17"/>
      <c r="T5" s="17"/>
      <c r="U5" s="17"/>
      <c r="V5" s="17"/>
      <c r="W5" s="17"/>
      <c r="X5" s="17"/>
      <c r="Y5" s="17"/>
      <c r="Z5" s="17"/>
      <c r="AA5" s="17"/>
      <c r="AB5" s="17"/>
      <c r="AC5" s="17"/>
      <c r="AD5" s="17"/>
      <c r="AE5" s="17"/>
      <c r="AF5" s="17"/>
      <c r="AG5" s="17"/>
      <c r="AH5" s="17"/>
    </row>
    <row r="6" spans="1:34" ht="30">
      <c r="A6" s="56"/>
      <c r="B6" s="368" t="str">
        <f ca="1">OFFSET(L!$C$1,MATCH("Declaration"&amp;ADDRESS(ROW(),COLUMN(),4),L!$A:$A,0)-1,SL,,)</f>
        <v>Mandatory fields are noted with an asterisk (*). The information collected in this template should be updated annually. Any changes within the annual cycle should be provided to your customers</v>
      </c>
      <c r="C6" s="368"/>
      <c r="D6" s="368"/>
      <c r="E6" s="368"/>
      <c r="F6" s="368"/>
      <c r="G6" s="368"/>
      <c r="H6" s="368"/>
      <c r="I6" s="368"/>
      <c r="J6" s="368"/>
      <c r="K6" s="58"/>
      <c r="L6" s="162" t="s">
        <v>946</v>
      </c>
      <c r="M6" s="151"/>
      <c r="N6" s="151"/>
      <c r="O6" s="152"/>
      <c r="P6" s="12"/>
      <c r="Q6" s="12"/>
      <c r="R6" s="12"/>
      <c r="S6" s="12"/>
      <c r="T6" s="12"/>
      <c r="U6" s="12"/>
      <c r="V6" s="12"/>
      <c r="W6" s="12"/>
      <c r="X6" s="12"/>
      <c r="Y6" s="12"/>
      <c r="Z6" s="12"/>
      <c r="AA6" s="12"/>
      <c r="AB6" s="12"/>
      <c r="AC6" s="12"/>
      <c r="AD6" s="12"/>
      <c r="AE6" s="12"/>
      <c r="AF6" s="12"/>
      <c r="AG6" s="12"/>
      <c r="AH6" s="12"/>
    </row>
    <row r="7" spans="1:34" ht="15.75">
      <c r="A7" s="56"/>
      <c r="B7" s="353" t="str">
        <f ca="1">OFFSET(L!$C$1,MATCH("Declaration"&amp;ADDRESS(ROW(),COLUMN(),4),L!$A:$A,0)-1,SL,,)</f>
        <v>Company Information</v>
      </c>
      <c r="C7" s="353"/>
      <c r="D7" s="353"/>
      <c r="E7" s="353"/>
      <c r="F7" s="353"/>
      <c r="G7" s="353"/>
      <c r="H7" s="353"/>
      <c r="I7" s="353"/>
      <c r="J7" s="353"/>
      <c r="K7" s="58"/>
      <c r="L7" s="162"/>
      <c r="M7" s="151"/>
      <c r="N7" s="151"/>
      <c r="O7" s="152"/>
      <c r="P7" s="12"/>
      <c r="Q7" s="12"/>
      <c r="R7" s="12"/>
      <c r="S7" s="12"/>
      <c r="T7" s="12"/>
      <c r="U7" s="12"/>
      <c r="V7" s="12"/>
      <c r="W7" s="12"/>
      <c r="X7" s="12"/>
      <c r="Y7" s="12"/>
      <c r="Z7" s="12"/>
      <c r="AA7" s="12"/>
      <c r="AB7" s="12"/>
      <c r="AC7" s="12"/>
      <c r="AD7" s="12"/>
      <c r="AE7" s="12"/>
      <c r="AF7" s="12"/>
      <c r="AG7" s="12"/>
      <c r="AH7" s="12"/>
    </row>
    <row r="8" spans="1:34" ht="15.75">
      <c r="A8" s="60"/>
      <c r="B8" s="102" t="str">
        <f ca="1">OFFSET(L!$C$1,MATCH("Declaration"&amp;ADDRESS(ROW(),COLUMN(),4),L!$A:$A,0)-1,SL,,)</f>
        <v>Company Name (*):</v>
      </c>
      <c r="C8" s="105"/>
      <c r="D8" s="362" t="s">
        <v>4614</v>
      </c>
      <c r="E8" s="363"/>
      <c r="F8" s="363"/>
      <c r="G8" s="363"/>
      <c r="H8" s="363"/>
      <c r="I8" s="363"/>
      <c r="J8" s="364"/>
      <c r="K8" s="61"/>
      <c r="L8" s="162"/>
      <c r="M8" s="151"/>
      <c r="N8" s="151"/>
      <c r="O8" s="152"/>
      <c r="P8" s="12"/>
      <c r="Q8" s="12"/>
      <c r="R8" s="12"/>
      <c r="S8" s="12"/>
      <c r="T8" s="12"/>
      <c r="U8" s="12"/>
      <c r="V8" s="12"/>
      <c r="W8" s="12"/>
      <c r="X8" s="12"/>
      <c r="Y8" s="12"/>
      <c r="Z8" s="12"/>
      <c r="AA8" s="12"/>
      <c r="AB8" s="12"/>
      <c r="AC8" s="12"/>
      <c r="AD8" s="12"/>
      <c r="AE8" s="12"/>
      <c r="AF8" s="12"/>
      <c r="AG8" s="12"/>
      <c r="AH8" s="12"/>
    </row>
    <row r="9" spans="1:34" ht="15.75">
      <c r="A9" s="60"/>
      <c r="B9" s="102" t="str">
        <f ca="1">OFFSET(L!$C$1,MATCH("Declaration"&amp;ADDRESS(ROW(),COLUMN(),4),L!$A:$A,0)-1,SL,,)</f>
        <v>Declaration Scope or Class (*):</v>
      </c>
      <c r="C9" s="105"/>
      <c r="D9" s="350" t="s">
        <v>1009</v>
      </c>
      <c r="E9" s="351"/>
      <c r="F9" s="351"/>
      <c r="G9" s="352"/>
      <c r="H9" s="62"/>
      <c r="I9" s="62"/>
      <c r="J9" s="62"/>
      <c r="K9" s="58"/>
      <c r="L9" s="162"/>
      <c r="M9" s="151"/>
      <c r="N9" s="151"/>
      <c r="O9" s="152"/>
      <c r="P9" s="165" t="s">
        <v>1009</v>
      </c>
      <c r="Q9" s="165" t="s">
        <v>1010</v>
      </c>
      <c r="R9" s="165" t="s">
        <v>1011</v>
      </c>
      <c r="S9" s="165"/>
      <c r="T9" s="49"/>
      <c r="U9" s="12"/>
      <c r="V9" s="12"/>
      <c r="W9" s="12"/>
      <c r="X9" s="12"/>
      <c r="Y9" s="12"/>
      <c r="Z9" s="12"/>
      <c r="AA9" s="12"/>
      <c r="AB9" s="12"/>
      <c r="AC9" s="12"/>
      <c r="AD9" s="12"/>
      <c r="AE9" s="12"/>
      <c r="AF9" s="12"/>
      <c r="AG9" s="12"/>
      <c r="AH9" s="12"/>
    </row>
    <row r="10" spans="1:34" ht="32.450000000000003" customHeight="1">
      <c r="A10" s="60"/>
      <c r="B10" s="354" t="str">
        <f ca="1">OFFSET(L!$C$1,MATCH("Declaration"&amp;ADDRESS(ROW(),COLUMN(),4)&amp;LEFT($D$9,1),L!$A:$A,0)-1,SL,,)</f>
        <v>Description of Scope:</v>
      </c>
      <c r="C10" s="176"/>
      <c r="D10" s="369"/>
      <c r="E10" s="370"/>
      <c r="F10" s="370"/>
      <c r="G10" s="370"/>
      <c r="H10" s="370"/>
      <c r="I10" s="370"/>
      <c r="J10" s="371"/>
      <c r="K10" s="58"/>
      <c r="L10" s="162"/>
      <c r="M10" s="151"/>
      <c r="N10" s="151"/>
      <c r="O10" s="152"/>
      <c r="Q10" s="12"/>
      <c r="R10" s="12"/>
      <c r="S10" s="12"/>
      <c r="T10" s="12"/>
      <c r="U10" s="12"/>
      <c r="V10" s="12"/>
      <c r="W10" s="12"/>
      <c r="X10" s="12"/>
      <c r="Y10" s="12"/>
      <c r="Z10" s="12"/>
      <c r="AA10" s="12"/>
      <c r="AB10" s="12"/>
      <c r="AC10" s="12"/>
      <c r="AD10" s="12"/>
      <c r="AE10" s="12"/>
      <c r="AF10" s="12"/>
      <c r="AG10" s="12"/>
      <c r="AH10" s="12"/>
    </row>
    <row r="11" spans="1:34" ht="15">
      <c r="A11" s="60"/>
      <c r="B11" s="355"/>
      <c r="C11" s="176"/>
      <c r="D11" s="375" t="str">
        <f ca="1">IF(D9=Q9,OFFSET(L!$C$1,MATCH("Declaration"&amp;ADDRESS(ROW(),COLUMN(),4),L!$A:$A,0)-1,SL,,),"")</f>
        <v/>
      </c>
      <c r="E11" s="376"/>
      <c r="F11" s="376"/>
      <c r="G11" s="376"/>
      <c r="H11" s="376"/>
      <c r="I11" s="376"/>
      <c r="J11" s="377"/>
      <c r="K11" s="58"/>
      <c r="L11" s="162"/>
      <c r="M11" s="151"/>
      <c r="N11" s="151"/>
      <c r="O11" s="152"/>
      <c r="Q11" s="12"/>
      <c r="R11" s="12"/>
      <c r="S11" s="12"/>
      <c r="T11" s="12"/>
      <c r="U11" s="12"/>
      <c r="V11" s="12"/>
      <c r="W11" s="12"/>
      <c r="X11" s="12"/>
      <c r="Y11" s="12"/>
      <c r="Z11" s="12"/>
      <c r="AA11" s="12"/>
      <c r="AB11" s="12"/>
      <c r="AC11" s="12"/>
      <c r="AD11" s="12"/>
      <c r="AE11" s="12"/>
      <c r="AF11" s="12"/>
      <c r="AG11" s="12"/>
      <c r="AH11" s="12"/>
    </row>
    <row r="12" spans="1:34" ht="15.75">
      <c r="A12" s="60"/>
      <c r="B12" s="63" t="str">
        <f ca="1">OFFSET(L!$C$1,MATCH("Declaration"&amp;ADDRESS(ROW(),COLUMN(),4),L!$A:$A,0)-1,SL,,)</f>
        <v>Company Unique ID:</v>
      </c>
      <c r="C12" s="106"/>
      <c r="D12" s="338">
        <v>544930568</v>
      </c>
      <c r="E12" s="372"/>
      <c r="F12" s="372"/>
      <c r="G12" s="372"/>
      <c r="H12" s="372"/>
      <c r="I12" s="372"/>
      <c r="J12" s="339"/>
      <c r="K12" s="58"/>
      <c r="L12" s="162"/>
      <c r="M12" s="151"/>
      <c r="N12" s="151"/>
      <c r="O12" s="152"/>
      <c r="Q12" s="12"/>
      <c r="R12" s="12"/>
      <c r="S12" s="12"/>
      <c r="T12" s="12"/>
      <c r="U12" s="12"/>
      <c r="V12" s="12"/>
      <c r="W12" s="12"/>
      <c r="X12" s="12"/>
      <c r="Y12" s="12"/>
      <c r="Z12" s="12"/>
      <c r="AA12" s="12"/>
      <c r="AB12" s="12"/>
      <c r="AC12" s="12"/>
      <c r="AD12" s="12"/>
      <c r="AE12" s="12"/>
      <c r="AF12" s="12"/>
      <c r="AG12" s="12"/>
      <c r="AH12" s="12"/>
    </row>
    <row r="13" spans="1:34" ht="15.75">
      <c r="A13" s="60"/>
      <c r="B13" s="63" t="str">
        <f ca="1">OFFSET(L!$C$1,MATCH("Declaration"&amp;ADDRESS(ROW(),COLUMN(),4),L!$A:$A,0)-1,SL,,)</f>
        <v>Company Unique ID Authority:</v>
      </c>
      <c r="C13" s="106"/>
      <c r="D13" s="338" t="s">
        <v>4615</v>
      </c>
      <c r="E13" s="372"/>
      <c r="F13" s="372"/>
      <c r="G13" s="372"/>
      <c r="H13" s="372"/>
      <c r="I13" s="372"/>
      <c r="J13" s="339"/>
      <c r="K13" s="58"/>
      <c r="L13" s="162"/>
      <c r="M13" s="151"/>
      <c r="N13" s="151"/>
      <c r="O13" s="152"/>
      <c r="Q13" s="12"/>
      <c r="R13" s="12"/>
      <c r="S13" s="12"/>
      <c r="T13" s="12"/>
      <c r="U13" s="12"/>
      <c r="V13" s="12"/>
      <c r="W13" s="12"/>
      <c r="X13" s="12"/>
      <c r="Y13" s="12"/>
      <c r="Z13" s="12"/>
      <c r="AA13" s="12"/>
      <c r="AB13" s="12"/>
      <c r="AC13" s="12"/>
      <c r="AD13" s="12"/>
      <c r="AE13" s="12"/>
      <c r="AF13" s="12"/>
      <c r="AG13" s="12"/>
      <c r="AH13" s="12"/>
    </row>
    <row r="14" spans="1:34" ht="15.75">
      <c r="A14" s="60"/>
      <c r="B14" s="63" t="str">
        <f ca="1">OFFSET(L!$C$1,MATCH("Declaration"&amp;ADDRESS(ROW(),COLUMN(),4),L!$A:$A,0)-1,SL,,)</f>
        <v>Address:</v>
      </c>
      <c r="C14" s="106"/>
      <c r="D14" s="338" t="s">
        <v>4616</v>
      </c>
      <c r="E14" s="372"/>
      <c r="F14" s="372"/>
      <c r="G14" s="372"/>
      <c r="H14" s="372"/>
      <c r="I14" s="372"/>
      <c r="J14" s="339"/>
      <c r="K14" s="58"/>
      <c r="L14" s="162"/>
      <c r="M14" s="151"/>
      <c r="N14" s="151"/>
      <c r="O14" s="152"/>
      <c r="Q14" s="12"/>
      <c r="R14" s="12"/>
      <c r="S14" s="12"/>
      <c r="T14" s="12"/>
      <c r="U14" s="12"/>
      <c r="V14" s="12"/>
      <c r="W14" s="12"/>
      <c r="X14" s="12"/>
      <c r="Y14" s="12"/>
      <c r="Z14" s="12"/>
      <c r="AA14" s="12"/>
      <c r="AB14" s="12"/>
      <c r="AC14" s="12"/>
      <c r="AD14" s="12"/>
      <c r="AE14" s="12"/>
      <c r="AF14" s="12"/>
      <c r="AG14" s="12"/>
      <c r="AH14" s="12"/>
    </row>
    <row r="15" spans="1:34" ht="15.75">
      <c r="A15" s="60"/>
      <c r="B15" s="63" t="str">
        <f ca="1">OFFSET(L!$C$1,MATCH("Declaration"&amp;ADDRESS(ROW(),COLUMN(),4),L!$A:$A,0)-1,SL,,)</f>
        <v>Contact Name (*):</v>
      </c>
      <c r="C15" s="106"/>
      <c r="D15" s="365" t="s">
        <v>4617</v>
      </c>
      <c r="E15" s="366"/>
      <c r="F15" s="366"/>
      <c r="G15" s="366"/>
      <c r="H15" s="366"/>
      <c r="I15" s="366"/>
      <c r="J15" s="367"/>
      <c r="K15" s="58"/>
      <c r="L15" s="162"/>
      <c r="M15" s="151"/>
      <c r="N15" s="151"/>
      <c r="O15" s="152"/>
      <c r="Q15" s="12"/>
      <c r="R15" s="12"/>
      <c r="S15" s="12"/>
      <c r="T15" s="12"/>
      <c r="U15" s="12"/>
      <c r="V15" s="12"/>
      <c r="W15" s="12"/>
      <c r="X15" s="12"/>
      <c r="Y15" s="12"/>
      <c r="Z15" s="12"/>
      <c r="AA15" s="12"/>
      <c r="AB15" s="12"/>
      <c r="AC15" s="12"/>
      <c r="AD15" s="12"/>
      <c r="AE15" s="12"/>
      <c r="AF15" s="12"/>
      <c r="AG15" s="12"/>
      <c r="AH15" s="12"/>
    </row>
    <row r="16" spans="1:34" ht="15.75">
      <c r="A16" s="60"/>
      <c r="B16" s="63" t="str">
        <f ca="1">OFFSET(L!$C$1,MATCH("Declaration"&amp;ADDRESS(ROW(),COLUMN(),4),L!$A:$A,0)-1,SL,,)</f>
        <v>Email – Contact (*):</v>
      </c>
      <c r="C16" s="106"/>
      <c r="D16" s="365" t="s">
        <v>4619</v>
      </c>
      <c r="E16" s="366"/>
      <c r="F16" s="366"/>
      <c r="G16" s="366"/>
      <c r="H16" s="366"/>
      <c r="I16" s="366"/>
      <c r="J16" s="367"/>
      <c r="K16" s="58"/>
      <c r="L16" s="162"/>
      <c r="M16" s="151"/>
      <c r="N16" s="151"/>
      <c r="O16" s="152"/>
      <c r="Q16" s="12"/>
      <c r="R16" s="12"/>
      <c r="S16" s="12"/>
      <c r="T16" s="12"/>
      <c r="U16" s="12"/>
      <c r="V16" s="12"/>
      <c r="W16" s="12"/>
      <c r="X16" s="12"/>
      <c r="Y16" s="12"/>
      <c r="Z16" s="12"/>
      <c r="AA16" s="12"/>
      <c r="AB16" s="12"/>
      <c r="AC16" s="12"/>
      <c r="AD16" s="12"/>
      <c r="AE16" s="12"/>
      <c r="AF16" s="12"/>
      <c r="AG16" s="12"/>
      <c r="AH16" s="12"/>
    </row>
    <row r="17" spans="1:34" ht="15.75">
      <c r="A17" s="60"/>
      <c r="B17" s="63" t="str">
        <f ca="1">OFFSET(L!$C$1,MATCH("Declaration"&amp;ADDRESS(ROW(),COLUMN(),4),L!$A:$A,0)-1,SL,,)</f>
        <v>Phone – Contact (*):</v>
      </c>
      <c r="C17" s="106"/>
      <c r="D17" s="365">
        <v>62863600</v>
      </c>
      <c r="E17" s="366"/>
      <c r="F17" s="366"/>
      <c r="G17" s="366"/>
      <c r="H17" s="366"/>
      <c r="I17" s="366"/>
      <c r="J17" s="367"/>
      <c r="K17" s="58"/>
      <c r="L17" s="162"/>
      <c r="M17" s="151"/>
      <c r="N17" s="151"/>
      <c r="O17" s="152"/>
      <c r="Q17" s="12"/>
      <c r="R17" s="12"/>
      <c r="S17" s="12"/>
      <c r="T17" s="12"/>
      <c r="U17" s="12"/>
      <c r="V17" s="12"/>
      <c r="W17" s="12"/>
      <c r="X17" s="12"/>
      <c r="Y17" s="12"/>
      <c r="Z17" s="12"/>
      <c r="AA17" s="12"/>
      <c r="AB17" s="12"/>
      <c r="AC17" s="12"/>
      <c r="AD17" s="12"/>
      <c r="AE17" s="12"/>
      <c r="AF17" s="12"/>
      <c r="AG17" s="12"/>
      <c r="AH17" s="12"/>
    </row>
    <row r="18" spans="1:34" ht="22.5">
      <c r="A18" s="60"/>
      <c r="B18" s="63" t="str">
        <f ca="1">OFFSET(L!$C$1,MATCH("Declaration"&amp;ADDRESS(ROW(),COLUMN(),4),L!$A:$A,0)-1,SL,,)</f>
        <v>Authorizer (*):</v>
      </c>
      <c r="C18" s="106"/>
      <c r="D18" s="365" t="s">
        <v>4618</v>
      </c>
      <c r="E18" s="366"/>
      <c r="F18" s="366"/>
      <c r="G18" s="366"/>
      <c r="H18" s="366"/>
      <c r="I18" s="366"/>
      <c r="J18" s="367"/>
      <c r="K18" s="58"/>
      <c r="L18" s="156"/>
      <c r="M18" s="151"/>
      <c r="N18" s="151"/>
      <c r="O18" s="152"/>
      <c r="Q18" s="12"/>
      <c r="R18" s="12"/>
      <c r="S18" s="12"/>
      <c r="T18" s="12"/>
      <c r="U18" s="12"/>
      <c r="V18" s="12"/>
      <c r="W18" s="12"/>
      <c r="X18" s="12"/>
      <c r="Y18" s="12"/>
      <c r="Z18" s="12"/>
      <c r="AA18" s="12"/>
      <c r="AB18" s="12"/>
      <c r="AC18" s="12"/>
      <c r="AD18" s="12"/>
      <c r="AE18" s="12"/>
      <c r="AF18" s="12"/>
      <c r="AG18" s="12"/>
      <c r="AH18" s="12"/>
    </row>
    <row r="19" spans="1:34" ht="22.5">
      <c r="A19" s="60"/>
      <c r="B19" s="63" t="str">
        <f ca="1">OFFSET(L!$C$1,MATCH("Declaration"&amp;ADDRESS(ROW(),COLUMN(),4),L!$A:$A,0)-1,SL,,)</f>
        <v>Title - Authorizer:</v>
      </c>
      <c r="C19" s="106"/>
      <c r="D19" s="365" t="s">
        <v>4621</v>
      </c>
      <c r="E19" s="366"/>
      <c r="F19" s="366"/>
      <c r="G19" s="366"/>
      <c r="H19" s="366"/>
      <c r="I19" s="366"/>
      <c r="J19" s="367"/>
      <c r="K19" s="58"/>
      <c r="L19" s="156"/>
      <c r="M19" s="151"/>
      <c r="N19" s="151"/>
      <c r="O19" s="152"/>
      <c r="P19" s="12"/>
      <c r="Q19" s="12"/>
      <c r="R19" s="12"/>
      <c r="S19" s="12"/>
      <c r="T19" s="12"/>
      <c r="U19" s="12"/>
      <c r="V19" s="12"/>
      <c r="W19" s="12"/>
      <c r="X19" s="12"/>
      <c r="Y19" s="12"/>
      <c r="Z19" s="12"/>
      <c r="AA19" s="12"/>
      <c r="AB19" s="12"/>
      <c r="AC19" s="12"/>
      <c r="AD19" s="12"/>
      <c r="AE19" s="12"/>
      <c r="AF19" s="12"/>
      <c r="AG19" s="12"/>
      <c r="AH19" s="12"/>
    </row>
    <row r="20" spans="1:34" ht="22.5">
      <c r="A20" s="60"/>
      <c r="B20" s="63" t="str">
        <f ca="1">OFFSET(L!$C$1,MATCH("Declaration"&amp;ADDRESS(ROW(),COLUMN(),4),L!$A:$A,0)-1,SL,,)</f>
        <v>Email - Authorizer (*):</v>
      </c>
      <c r="C20" s="106"/>
      <c r="D20" s="369" t="s">
        <v>4620</v>
      </c>
      <c r="E20" s="370"/>
      <c r="F20" s="370"/>
      <c r="G20" s="370"/>
      <c r="H20" s="370"/>
      <c r="I20" s="370"/>
      <c r="J20" s="371"/>
      <c r="K20" s="58"/>
      <c r="L20" s="156"/>
      <c r="M20" s="151"/>
      <c r="N20" s="151"/>
      <c r="O20" s="152"/>
      <c r="P20" s="12"/>
      <c r="Q20" s="12"/>
      <c r="R20" s="12"/>
      <c r="S20" s="12"/>
      <c r="T20" s="12"/>
      <c r="U20" s="12"/>
      <c r="V20" s="12"/>
      <c r="W20" s="12"/>
      <c r="X20" s="12"/>
      <c r="Y20" s="12"/>
      <c r="Z20" s="12"/>
      <c r="AA20" s="12"/>
      <c r="AB20" s="12"/>
      <c r="AC20" s="12"/>
      <c r="AD20" s="12"/>
      <c r="AE20" s="12"/>
      <c r="AF20" s="12"/>
      <c r="AG20" s="12"/>
      <c r="AH20" s="12"/>
    </row>
    <row r="21" spans="1:34" ht="15.75">
      <c r="A21" s="60"/>
      <c r="B21" s="63" t="str">
        <f ca="1">OFFSET(L!$C$1,MATCH("Declaration"&amp;ADDRESS(ROW(),COLUMN(),4),L!$A:$A,0)-1,SL,,)</f>
        <v>Phone - Authorizer (*):</v>
      </c>
      <c r="C21" s="191"/>
      <c r="D21" s="343">
        <v>62863600</v>
      </c>
      <c r="E21" s="344"/>
      <c r="F21" s="344"/>
      <c r="G21" s="344"/>
      <c r="H21" s="344"/>
      <c r="I21" s="344"/>
      <c r="J21" s="345"/>
      <c r="K21" s="58"/>
      <c r="L21" s="162"/>
      <c r="M21" s="153"/>
      <c r="N21" s="151"/>
      <c r="O21" s="152"/>
      <c r="P21" s="12"/>
      <c r="Q21" s="12"/>
      <c r="R21" s="12"/>
      <c r="S21" s="12"/>
      <c r="T21" s="12"/>
      <c r="U21" s="12"/>
      <c r="V21" s="12"/>
      <c r="W21" s="12"/>
      <c r="X21" s="12"/>
      <c r="Y21" s="12"/>
      <c r="Z21" s="12"/>
      <c r="AA21" s="12"/>
      <c r="AB21" s="12"/>
      <c r="AC21" s="12"/>
      <c r="AD21" s="12"/>
      <c r="AE21" s="12"/>
      <c r="AF21" s="12"/>
      <c r="AG21" s="12"/>
      <c r="AH21" s="12"/>
    </row>
    <row r="22" spans="1:34" ht="18">
      <c r="A22" s="60"/>
      <c r="B22" s="63" t="str">
        <f ca="1">OFFSET(L!$C$1,MATCH("Declaration"&amp;ADDRESS(ROW(),COLUMN(),4),L!$A:$A,0)-1,SL,,)</f>
        <v>Effective Date (*):</v>
      </c>
      <c r="C22" s="107"/>
      <c r="D22" s="346">
        <v>42633</v>
      </c>
      <c r="E22" s="347"/>
      <c r="F22" s="192"/>
      <c r="G22" s="193"/>
      <c r="H22" s="193"/>
      <c r="I22" s="193"/>
      <c r="J22" s="193"/>
      <c r="K22" s="58"/>
      <c r="L22" s="160"/>
      <c r="M22" s="151"/>
      <c r="N22" s="151"/>
      <c r="O22" s="152"/>
      <c r="P22" s="12"/>
      <c r="Q22" s="12"/>
      <c r="R22" s="12"/>
      <c r="S22" s="12"/>
      <c r="T22" s="12"/>
      <c r="U22" s="12"/>
      <c r="V22" s="12"/>
      <c r="W22" s="12"/>
      <c r="X22" s="12"/>
      <c r="Y22" s="12"/>
      <c r="Z22" s="12"/>
      <c r="AA22" s="12"/>
      <c r="AB22" s="12"/>
      <c r="AC22" s="12"/>
      <c r="AD22" s="12"/>
      <c r="AE22" s="12"/>
      <c r="AF22" s="12"/>
      <c r="AG22" s="12"/>
      <c r="AH22" s="12"/>
    </row>
    <row r="23" spans="1:34" ht="18">
      <c r="A23" s="64"/>
      <c r="B23" s="108"/>
      <c r="C23" s="20"/>
      <c r="D23" s="380"/>
      <c r="E23" s="380"/>
      <c r="F23" s="14"/>
      <c r="G23" s="177"/>
      <c r="H23" s="177"/>
      <c r="I23" s="177"/>
      <c r="J23" s="177"/>
      <c r="K23" s="58"/>
      <c r="L23" s="157"/>
      <c r="M23" s="151"/>
      <c r="N23" s="151"/>
      <c r="O23" s="152"/>
      <c r="P23" s="23"/>
      <c r="Q23" s="12"/>
      <c r="R23" s="12"/>
      <c r="S23" s="12"/>
      <c r="T23" s="12"/>
      <c r="U23" s="12"/>
      <c r="V23" s="12"/>
      <c r="W23" s="12"/>
      <c r="X23" s="12"/>
      <c r="Y23" s="12"/>
      <c r="Z23" s="12"/>
      <c r="AA23" s="12"/>
      <c r="AB23" s="12"/>
      <c r="AC23" s="12"/>
      <c r="AD23" s="12"/>
      <c r="AE23" s="12"/>
      <c r="AF23" s="12"/>
      <c r="AG23" s="12"/>
      <c r="AH23" s="12"/>
    </row>
    <row r="24" spans="1:34" ht="15.75">
      <c r="A24" s="65"/>
      <c r="B24" s="348" t="str">
        <f ca="1">OFFSET(L!$C$1,MATCH("Declaration"&amp;ADDRESS(ROW(),COLUMN(),4),L!$A:$A,0)-1,SL,,)</f>
        <v>Answer the following questions 1 - 7 based on the declaration scope indicated above</v>
      </c>
      <c r="C24" s="348"/>
      <c r="D24" s="348"/>
      <c r="E24" s="348"/>
      <c r="F24" s="348"/>
      <c r="G24" s="348"/>
      <c r="H24" s="348"/>
      <c r="I24" s="348"/>
      <c r="J24" s="348"/>
      <c r="K24" s="66"/>
      <c r="L24" s="157"/>
      <c r="M24" s="151"/>
      <c r="N24" s="151"/>
      <c r="O24" s="152"/>
      <c r="P24" s="23"/>
      <c r="Q24" s="12"/>
      <c r="R24" s="12"/>
      <c r="S24" s="12"/>
      <c r="T24" s="12"/>
      <c r="U24" s="12"/>
      <c r="V24" s="12"/>
      <c r="W24" s="12"/>
      <c r="X24" s="12"/>
      <c r="Y24" s="12"/>
      <c r="Z24" s="12"/>
      <c r="AA24" s="12"/>
      <c r="AB24" s="12"/>
      <c r="AC24" s="12"/>
      <c r="AD24" s="12"/>
      <c r="AE24" s="12"/>
      <c r="AF24" s="12"/>
      <c r="AG24" s="12"/>
      <c r="AH24" s="12"/>
    </row>
    <row r="25" spans="1:34" ht="45.75">
      <c r="A25" s="64"/>
      <c r="B25" s="67" t="str">
        <f ca="1">OFFSET(L!$C$1,MATCH("Declaration"&amp;ADDRESS(ROW(),COLUMN(),4),L!$A:$A,0)-1,SL,,)</f>
        <v>1) Is the 3TG intentionally added to your product? (*)</v>
      </c>
      <c r="C25" s="20"/>
      <c r="D25" s="349" t="str">
        <f ca="1">OFFSET(L!$C$1,MATCH("Declaration"&amp;ADDRESS(ROW(),COLUMN(),4),L!$A:$A,0)-1,SL,,)</f>
        <v>Answer</v>
      </c>
      <c r="E25" s="349"/>
      <c r="F25" s="21"/>
      <c r="G25" s="67" t="str">
        <f ca="1">OFFSET(L!$C$1,MATCH("Declaration"&amp;ADDRESS(ROW(),COLUMN(),4),L!$A:$A,0)-1,SL,,)</f>
        <v>Comments</v>
      </c>
      <c r="H25" s="67"/>
      <c r="I25" s="67"/>
      <c r="J25" s="112"/>
      <c r="K25" s="58"/>
      <c r="L25" s="157" t="s">
        <v>2589</v>
      </c>
      <c r="M25" s="151"/>
      <c r="N25" s="151"/>
      <c r="O25" s="152"/>
      <c r="P25" s="23"/>
      <c r="Q25" s="12"/>
      <c r="R25" s="12"/>
      <c r="S25" s="12"/>
      <c r="T25" s="12"/>
      <c r="U25" s="12"/>
      <c r="V25" s="12"/>
      <c r="W25" s="12"/>
      <c r="X25" s="12"/>
      <c r="Y25" s="12"/>
      <c r="Z25" s="12"/>
      <c r="AA25" s="12"/>
      <c r="AB25" s="12"/>
      <c r="AC25" s="12"/>
      <c r="AD25" s="12"/>
      <c r="AE25" s="12"/>
      <c r="AF25" s="12"/>
      <c r="AG25" s="12"/>
      <c r="AH25" s="12"/>
    </row>
    <row r="26" spans="1:34" ht="22.5">
      <c r="A26" s="64"/>
      <c r="B26" s="63" t="str">
        <f ca="1">OFFSET(L!$C$1,MATCH("Declaration"&amp;ADDRESS(ROW(),COLUMN(),4),L!$A:$A,0)-1,SL,,)&amp;P26</f>
        <v>Tantalum  (*)</v>
      </c>
      <c r="C26" s="57"/>
      <c r="D26" s="338" t="s">
        <v>998</v>
      </c>
      <c r="E26" s="339"/>
      <c r="F26" s="15"/>
      <c r="G26" s="340"/>
      <c r="H26" s="341"/>
      <c r="I26" s="341"/>
      <c r="J26" s="342"/>
      <c r="K26" s="58"/>
      <c r="L26" s="163"/>
      <c r="M26" s="153"/>
      <c r="N26" s="151"/>
      <c r="O26" s="152"/>
      <c r="P26" s="165" t="s">
        <v>1021</v>
      </c>
      <c r="R26" s="12"/>
      <c r="S26" s="12"/>
      <c r="T26" s="12"/>
      <c r="U26" s="12"/>
      <c r="V26" s="12"/>
      <c r="W26" s="12"/>
      <c r="X26" s="12"/>
      <c r="Y26" s="12"/>
      <c r="Z26" s="12"/>
      <c r="AA26" s="12"/>
      <c r="AB26" s="12"/>
      <c r="AC26" s="12"/>
      <c r="AD26" s="12"/>
      <c r="AE26" s="12"/>
      <c r="AF26" s="12"/>
      <c r="AG26" s="12"/>
      <c r="AH26" s="12"/>
    </row>
    <row r="27" spans="1:34" ht="22.5">
      <c r="A27" s="64"/>
      <c r="B27" s="63" t="str">
        <f ca="1">OFFSET(L!$C$1,MATCH("Declaration"&amp;ADDRESS(ROW(),COLUMN(),4),L!$A:$A,0)-1,SL,,)&amp;P27</f>
        <v>Tin  (*)</v>
      </c>
      <c r="C27" s="57"/>
      <c r="D27" s="338" t="s">
        <v>998</v>
      </c>
      <c r="E27" s="339"/>
      <c r="F27" s="15"/>
      <c r="G27" s="340"/>
      <c r="H27" s="341"/>
      <c r="I27" s="341"/>
      <c r="J27" s="342"/>
      <c r="K27" s="58"/>
      <c r="L27" s="163"/>
      <c r="M27" s="151"/>
      <c r="N27" s="151"/>
      <c r="O27" s="151"/>
      <c r="P27" s="165" t="s">
        <v>1021</v>
      </c>
      <c r="R27" s="12"/>
      <c r="S27" s="12"/>
      <c r="T27" s="12"/>
      <c r="U27" s="12"/>
      <c r="V27" s="12"/>
      <c r="W27" s="12"/>
      <c r="X27" s="12"/>
      <c r="Y27" s="12"/>
      <c r="Z27" s="12"/>
      <c r="AA27" s="12"/>
      <c r="AB27" s="12"/>
      <c r="AC27" s="12"/>
      <c r="AD27" s="12"/>
      <c r="AE27" s="12"/>
      <c r="AF27" s="12"/>
      <c r="AG27" s="12"/>
      <c r="AH27" s="12"/>
    </row>
    <row r="28" spans="1:34" ht="22.5">
      <c r="A28" s="64"/>
      <c r="B28" s="63" t="str">
        <f ca="1">OFFSET(L!$C$1,MATCH("Declaration"&amp;ADDRESS(ROW(),COLUMN(),4),L!$A:$A,0)-1,SL,,)&amp;P28</f>
        <v>Gold  (*)</v>
      </c>
      <c r="C28" s="57"/>
      <c r="D28" s="338" t="s">
        <v>998</v>
      </c>
      <c r="E28" s="339"/>
      <c r="F28" s="15"/>
      <c r="G28" s="340"/>
      <c r="H28" s="341"/>
      <c r="I28" s="341"/>
      <c r="J28" s="342"/>
      <c r="K28" s="58"/>
      <c r="L28" s="163"/>
      <c r="M28" s="151"/>
      <c r="N28" s="151"/>
      <c r="O28" s="151"/>
      <c r="P28" s="165" t="s">
        <v>1021</v>
      </c>
      <c r="R28" s="12"/>
      <c r="S28" s="12"/>
      <c r="T28" s="12"/>
      <c r="U28" s="12"/>
      <c r="V28" s="12"/>
      <c r="W28" s="12"/>
      <c r="X28" s="12"/>
      <c r="Y28" s="12"/>
      <c r="Z28" s="12"/>
      <c r="AA28" s="12"/>
      <c r="AB28" s="12"/>
      <c r="AC28" s="12"/>
      <c r="AD28" s="12"/>
      <c r="AE28" s="12"/>
      <c r="AF28" s="12"/>
      <c r="AG28" s="12"/>
      <c r="AH28" s="12"/>
    </row>
    <row r="29" spans="1:34" ht="22.5">
      <c r="A29" s="64"/>
      <c r="B29" s="63" t="str">
        <f ca="1">OFFSET(L!$C$1,MATCH("Declaration"&amp;ADDRESS(ROW(),COLUMN(),4),L!$A:$A,0)-1,SL,,)&amp;P29</f>
        <v>Tungsten  (*)</v>
      </c>
      <c r="C29" s="57"/>
      <c r="D29" s="338" t="s">
        <v>998</v>
      </c>
      <c r="E29" s="339"/>
      <c r="F29" s="15"/>
      <c r="G29" s="340"/>
      <c r="H29" s="341"/>
      <c r="I29" s="341"/>
      <c r="J29" s="342"/>
      <c r="K29" s="58"/>
      <c r="L29" s="163"/>
      <c r="M29" s="151"/>
      <c r="N29" s="151"/>
      <c r="O29" s="151"/>
      <c r="P29" s="165" t="s">
        <v>1021</v>
      </c>
      <c r="R29" s="12"/>
      <c r="S29" s="12"/>
      <c r="T29" s="12"/>
      <c r="U29" s="12"/>
      <c r="V29" s="12"/>
      <c r="W29" s="12"/>
      <c r="X29" s="12"/>
      <c r="Y29" s="12"/>
      <c r="Z29" s="12"/>
      <c r="AA29" s="12"/>
      <c r="AB29" s="12"/>
      <c r="AC29" s="12"/>
      <c r="AD29" s="12"/>
      <c r="AE29" s="12"/>
      <c r="AF29" s="12"/>
      <c r="AG29" s="12"/>
      <c r="AH29" s="12"/>
    </row>
    <row r="30" spans="1:34" ht="18">
      <c r="A30" s="64"/>
      <c r="B30" s="69"/>
      <c r="C30" s="13"/>
      <c r="D30" s="69"/>
      <c r="E30" s="69"/>
      <c r="F30" s="27"/>
      <c r="G30" s="69"/>
      <c r="H30" s="178"/>
      <c r="I30" s="178"/>
      <c r="J30" s="178"/>
      <c r="K30" s="58"/>
      <c r="L30" s="157"/>
      <c r="M30" s="151"/>
      <c r="N30" s="151"/>
      <c r="O30" s="151"/>
      <c r="R30" s="12"/>
      <c r="S30" s="12"/>
      <c r="T30" s="12"/>
      <c r="U30" s="12"/>
      <c r="V30" s="12"/>
      <c r="W30" s="12"/>
      <c r="X30" s="12"/>
      <c r="Y30" s="12"/>
      <c r="Z30" s="12"/>
      <c r="AA30" s="12"/>
      <c r="AB30" s="12"/>
      <c r="AC30" s="12"/>
      <c r="AD30" s="12"/>
      <c r="AE30" s="12"/>
      <c r="AF30" s="12"/>
      <c r="AG30" s="12"/>
      <c r="AH30" s="12"/>
    </row>
    <row r="31" spans="1:34" ht="50.45" customHeight="1">
      <c r="A31" s="64"/>
      <c r="B31" s="67" t="str">
        <f ca="1">OFFSET(L!$C$1,MATCH("Declaration"&amp;ADDRESS(ROW(),COLUMN(),4),L!$A:$A,0)-1,SL,,)</f>
        <v>2) Is the 3TG necessary to the production of your company’s products and contained in the finished product that your company manufactures or contracts to manufacture?  (*)</v>
      </c>
      <c r="C31" s="13"/>
      <c r="D31" s="337" t="str">
        <f ca="1">D25</f>
        <v>Answer</v>
      </c>
      <c r="E31" s="337"/>
      <c r="F31" s="21"/>
      <c r="G31" s="67" t="str">
        <f ca="1">G25</f>
        <v>Comments</v>
      </c>
      <c r="H31" s="67"/>
      <c r="I31" s="67"/>
      <c r="J31" s="112"/>
      <c r="K31" s="58"/>
      <c r="L31" s="157" t="s">
        <v>2591</v>
      </c>
      <c r="M31" s="151"/>
      <c r="N31" s="151"/>
      <c r="O31" s="152"/>
      <c r="P31" s="12"/>
      <c r="Q31" s="12"/>
      <c r="R31" s="12"/>
      <c r="S31" s="12"/>
      <c r="T31" s="12"/>
      <c r="U31" s="12"/>
      <c r="V31" s="12"/>
      <c r="W31" s="12"/>
      <c r="X31" s="12"/>
      <c r="Y31" s="12"/>
      <c r="Z31" s="12"/>
      <c r="AA31" s="12"/>
      <c r="AB31" s="12"/>
      <c r="AC31" s="12"/>
      <c r="AD31" s="12"/>
      <c r="AE31" s="12"/>
      <c r="AF31" s="12"/>
      <c r="AG31" s="12"/>
      <c r="AH31" s="12"/>
    </row>
    <row r="32" spans="1:34" ht="22.5">
      <c r="A32" s="64"/>
      <c r="B32" s="63" t="str">
        <f ca="1">B26</f>
        <v>Tantalum  (*)</v>
      </c>
      <c r="C32" s="13"/>
      <c r="D32" s="338" t="s">
        <v>998</v>
      </c>
      <c r="E32" s="339"/>
      <c r="F32" s="70"/>
      <c r="G32" s="340"/>
      <c r="H32" s="341"/>
      <c r="I32" s="341"/>
      <c r="J32" s="342"/>
      <c r="K32" s="58"/>
      <c r="L32" s="163"/>
      <c r="M32" s="153"/>
      <c r="N32" s="151"/>
      <c r="O32" s="152"/>
      <c r="Q32" s="12"/>
      <c r="R32" s="12"/>
      <c r="S32" s="12"/>
      <c r="T32" s="12"/>
      <c r="U32" s="12"/>
      <c r="V32" s="12"/>
      <c r="W32" s="12"/>
      <c r="X32" s="12"/>
      <c r="Y32" s="12"/>
      <c r="Z32" s="12"/>
      <c r="AA32" s="12"/>
      <c r="AB32" s="12"/>
      <c r="AC32" s="12"/>
      <c r="AD32" s="12"/>
      <c r="AE32" s="12"/>
      <c r="AF32" s="12"/>
      <c r="AG32" s="12"/>
      <c r="AH32" s="12"/>
    </row>
    <row r="33" spans="1:34" ht="22.5">
      <c r="A33" s="64"/>
      <c r="B33" s="63" t="str">
        <f ca="1">B27</f>
        <v>Tin  (*)</v>
      </c>
      <c r="C33" s="13"/>
      <c r="D33" s="338" t="s">
        <v>998</v>
      </c>
      <c r="E33" s="339"/>
      <c r="F33" s="70"/>
      <c r="G33" s="340"/>
      <c r="H33" s="341"/>
      <c r="I33" s="341"/>
      <c r="J33" s="342"/>
      <c r="K33" s="58"/>
      <c r="L33" s="163"/>
      <c r="M33" s="151"/>
      <c r="N33" s="151"/>
      <c r="O33" s="152"/>
      <c r="Q33" s="12"/>
      <c r="R33" s="12"/>
      <c r="S33" s="12"/>
      <c r="T33" s="12"/>
      <c r="U33" s="12"/>
      <c r="V33" s="12"/>
      <c r="W33" s="12"/>
      <c r="X33" s="12"/>
      <c r="Y33" s="12"/>
      <c r="Z33" s="12"/>
      <c r="AA33" s="12"/>
      <c r="AB33" s="12"/>
      <c r="AC33" s="12"/>
      <c r="AD33" s="12"/>
      <c r="AE33" s="12"/>
      <c r="AF33" s="12"/>
      <c r="AG33" s="12"/>
      <c r="AH33" s="12"/>
    </row>
    <row r="34" spans="1:34" ht="22.5">
      <c r="A34" s="64"/>
      <c r="B34" s="63" t="str">
        <f ca="1">B28</f>
        <v>Gold  (*)</v>
      </c>
      <c r="C34" s="13"/>
      <c r="D34" s="338" t="s">
        <v>998</v>
      </c>
      <c r="E34" s="339"/>
      <c r="F34" s="70"/>
      <c r="G34" s="340"/>
      <c r="H34" s="341"/>
      <c r="I34" s="341"/>
      <c r="J34" s="342"/>
      <c r="K34" s="58"/>
      <c r="L34" s="163"/>
      <c r="M34" s="151"/>
      <c r="N34" s="151"/>
      <c r="O34" s="152"/>
      <c r="Q34" s="12"/>
      <c r="R34" s="12"/>
      <c r="S34" s="12"/>
      <c r="T34" s="12"/>
      <c r="U34" s="12"/>
      <c r="V34" s="12"/>
      <c r="W34" s="12"/>
      <c r="X34" s="12"/>
      <c r="Y34" s="12"/>
      <c r="Z34" s="12"/>
      <c r="AA34" s="12"/>
      <c r="AB34" s="12"/>
      <c r="AC34" s="12"/>
      <c r="AD34" s="12"/>
      <c r="AE34" s="12"/>
      <c r="AF34" s="12"/>
      <c r="AG34" s="12"/>
      <c r="AH34" s="12"/>
    </row>
    <row r="35" spans="1:34" ht="22.5">
      <c r="A35" s="64"/>
      <c r="B35" s="63" t="str">
        <f ca="1">B29</f>
        <v>Tungsten  (*)</v>
      </c>
      <c r="C35" s="13"/>
      <c r="D35" s="338" t="s">
        <v>998</v>
      </c>
      <c r="E35" s="339"/>
      <c r="F35" s="70"/>
      <c r="G35" s="340"/>
      <c r="H35" s="341"/>
      <c r="I35" s="341"/>
      <c r="J35" s="342"/>
      <c r="K35" s="58"/>
      <c r="L35" s="163"/>
      <c r="M35" s="151"/>
      <c r="N35" s="151"/>
      <c r="O35" s="152"/>
      <c r="Q35" s="12"/>
      <c r="R35" s="12"/>
      <c r="S35" s="12"/>
      <c r="T35" s="12"/>
      <c r="U35" s="12"/>
      <c r="V35" s="12"/>
      <c r="W35" s="12"/>
      <c r="X35" s="12"/>
      <c r="Y35" s="12"/>
      <c r="Z35" s="12"/>
      <c r="AA35" s="12"/>
      <c r="AB35" s="12"/>
      <c r="AC35" s="12"/>
      <c r="AD35" s="12"/>
      <c r="AE35" s="12"/>
      <c r="AF35" s="12"/>
      <c r="AG35" s="12"/>
      <c r="AH35" s="12"/>
    </row>
    <row r="36" spans="1:34" ht="18">
      <c r="A36" s="64"/>
      <c r="B36" s="27"/>
      <c r="C36" s="13"/>
      <c r="D36" s="27"/>
      <c r="E36" s="27"/>
      <c r="F36" s="113"/>
      <c r="G36" s="27"/>
      <c r="H36" s="178"/>
      <c r="I36" s="178"/>
      <c r="J36" s="178"/>
      <c r="K36" s="58"/>
      <c r="L36" s="157"/>
      <c r="M36" s="151"/>
      <c r="N36" s="151"/>
      <c r="O36" s="152"/>
      <c r="P36" s="12"/>
      <c r="Q36" s="12"/>
      <c r="R36" s="12"/>
      <c r="S36" s="12"/>
      <c r="T36" s="12"/>
      <c r="U36" s="12"/>
      <c r="V36" s="12"/>
      <c r="W36" s="12"/>
      <c r="X36" s="12"/>
      <c r="Y36" s="12"/>
      <c r="Z36" s="12"/>
      <c r="AA36" s="12"/>
      <c r="AB36" s="12"/>
      <c r="AC36" s="12"/>
      <c r="AD36" s="12"/>
      <c r="AE36" s="12"/>
      <c r="AF36" s="12"/>
      <c r="AG36" s="12"/>
      <c r="AH36" s="12"/>
    </row>
    <row r="37" spans="1:34" ht="43.5" customHeight="1">
      <c r="A37" s="64"/>
      <c r="B37" s="67" t="str">
        <f ca="1">OFFSET(L!$C$1,MATCH("Declaration"&amp;ADDRESS(ROW(),COLUMN(),4),L!$A:$A,0)-1,SL,,)&amp;Q$37</f>
        <v>3) Do any of the smelters in your supply chain source the 3TG from the covered countries?  (*)</v>
      </c>
      <c r="C37" s="13"/>
      <c r="D37" s="337" t="str">
        <f ca="1">D25</f>
        <v>Answer</v>
      </c>
      <c r="E37" s="337"/>
      <c r="F37" s="21"/>
      <c r="G37" s="67" t="str">
        <f ca="1">G25</f>
        <v>Comments</v>
      </c>
      <c r="H37" s="379"/>
      <c r="I37" s="379"/>
      <c r="J37" s="379"/>
      <c r="K37" s="58"/>
      <c r="L37" s="157" t="s">
        <v>2591</v>
      </c>
      <c r="M37" s="151"/>
      <c r="N37" s="151"/>
      <c r="O37" s="152"/>
      <c r="P37" s="68">
        <f ca="1">COUNTIF(D$25:D$35,"No")</f>
        <v>0</v>
      </c>
      <c r="Q37" s="68" t="str">
        <f ca="1">IF(P37=8,""," (*)")</f>
        <v xml:space="preserve"> (*)</v>
      </c>
      <c r="R37" s="12"/>
      <c r="S37" s="12"/>
      <c r="T37" s="12"/>
      <c r="U37" s="12"/>
      <c r="V37" s="12"/>
      <c r="W37" s="12"/>
      <c r="X37" s="12"/>
      <c r="Y37" s="12"/>
      <c r="Z37" s="12"/>
      <c r="AA37" s="12"/>
      <c r="AB37" s="12"/>
      <c r="AC37" s="12"/>
      <c r="AD37" s="12"/>
      <c r="AE37" s="12"/>
      <c r="AF37" s="12"/>
      <c r="AG37" s="12"/>
      <c r="AH37" s="12"/>
    </row>
    <row r="38" spans="1:34" ht="22.5">
      <c r="A38" s="64"/>
      <c r="B38" s="63" t="str">
        <f ca="1">OFFSET(L!$C$1,MATCH("Declaration"&amp;ADDRESS(ROW(),COLUMN(),4),L!$A:$A,0)-1,SL,,)&amp;P38</f>
        <v>Tantalum  (*)</v>
      </c>
      <c r="C38" s="13"/>
      <c r="D38" s="338" t="s">
        <v>998</v>
      </c>
      <c r="E38" s="339"/>
      <c r="F38" s="70"/>
      <c r="G38" s="340"/>
      <c r="H38" s="341"/>
      <c r="I38" s="341"/>
      <c r="J38" s="342"/>
      <c r="K38" s="58"/>
      <c r="L38" s="163"/>
      <c r="M38" s="153"/>
      <c r="N38" s="151"/>
      <c r="O38" s="152"/>
      <c r="P38" s="165" t="str">
        <f>IF(AND(D26="No",D32="No"),"","(*)")</f>
        <v>(*)</v>
      </c>
      <c r="Q38" s="12"/>
      <c r="R38" s="12"/>
      <c r="S38" s="12"/>
      <c r="T38" s="12"/>
      <c r="U38" s="12"/>
      <c r="V38" s="12"/>
      <c r="W38" s="12"/>
      <c r="X38" s="12"/>
      <c r="Y38" s="12"/>
      <c r="Z38" s="12"/>
      <c r="AA38" s="12"/>
      <c r="AB38" s="12"/>
      <c r="AC38" s="12"/>
      <c r="AD38" s="12"/>
      <c r="AE38" s="12"/>
      <c r="AF38" s="12"/>
      <c r="AG38" s="12"/>
      <c r="AH38" s="12"/>
    </row>
    <row r="39" spans="1:34" ht="22.5">
      <c r="A39" s="64"/>
      <c r="B39" s="63" t="str">
        <f ca="1">OFFSET(L!$C$1,MATCH("Declaration"&amp;ADDRESS(ROW(),COLUMN(),4),L!$A:$A,0)-1,SL,,)&amp;P39</f>
        <v>Tin  (*)</v>
      </c>
      <c r="C39" s="13"/>
      <c r="D39" s="338" t="s">
        <v>998</v>
      </c>
      <c r="E39" s="339"/>
      <c r="F39" s="70"/>
      <c r="G39" s="340"/>
      <c r="H39" s="341"/>
      <c r="I39" s="341"/>
      <c r="J39" s="342"/>
      <c r="K39" s="58"/>
      <c r="L39" s="163"/>
      <c r="M39" s="151"/>
      <c r="N39" s="151"/>
      <c r="O39" s="152"/>
      <c r="P39" s="165" t="str">
        <f>IF(AND(D27="No",D33="No"),"","(*)")</f>
        <v>(*)</v>
      </c>
      <c r="Q39" s="12"/>
      <c r="R39" s="12"/>
      <c r="S39" s="12"/>
      <c r="T39" s="12"/>
      <c r="U39" s="12"/>
      <c r="V39" s="12"/>
      <c r="W39" s="12"/>
      <c r="X39" s="12"/>
      <c r="Y39" s="12"/>
      <c r="Z39" s="12"/>
      <c r="AA39" s="12"/>
      <c r="AB39" s="12"/>
      <c r="AC39" s="12"/>
      <c r="AD39" s="12"/>
      <c r="AE39" s="12"/>
      <c r="AF39" s="12"/>
      <c r="AG39" s="12"/>
      <c r="AH39" s="12"/>
    </row>
    <row r="40" spans="1:34" ht="22.5">
      <c r="A40" s="64"/>
      <c r="B40" s="63" t="str">
        <f ca="1">OFFSET(L!$C$1,MATCH("Declaration"&amp;ADDRESS(ROW(),COLUMN(),4),L!$A:$A,0)-1,SL,,)&amp;P40</f>
        <v>Gold  (*)</v>
      </c>
      <c r="C40" s="13"/>
      <c r="D40" s="338" t="s">
        <v>998</v>
      </c>
      <c r="E40" s="339"/>
      <c r="F40" s="70"/>
      <c r="G40" s="340"/>
      <c r="H40" s="341"/>
      <c r="I40" s="341"/>
      <c r="J40" s="342"/>
      <c r="K40" s="58"/>
      <c r="L40" s="163"/>
      <c r="M40" s="151"/>
      <c r="N40" s="151"/>
      <c r="O40" s="152"/>
      <c r="P40" s="165" t="str">
        <f>IF(AND(D28="No",D34="No"),"","(*)")</f>
        <v>(*)</v>
      </c>
      <c r="Q40" s="12"/>
      <c r="R40" s="12"/>
      <c r="S40" s="12"/>
      <c r="T40" s="12"/>
      <c r="U40" s="12"/>
      <c r="V40" s="12"/>
      <c r="W40" s="12"/>
      <c r="X40" s="12"/>
      <c r="Y40" s="12"/>
      <c r="Z40" s="12"/>
      <c r="AA40" s="12"/>
      <c r="AB40" s="12"/>
      <c r="AC40" s="12"/>
      <c r="AD40" s="12"/>
      <c r="AE40" s="12"/>
      <c r="AF40" s="12"/>
      <c r="AG40" s="12"/>
      <c r="AH40" s="12"/>
    </row>
    <row r="41" spans="1:34" ht="22.5">
      <c r="A41" s="64"/>
      <c r="B41" s="63" t="str">
        <f ca="1">OFFSET(L!$C$1,MATCH("Declaration"&amp;ADDRESS(ROW(),COLUMN(),4),L!$A:$A,0)-1,SL,,)&amp;P41</f>
        <v>Tungsten  (*)</v>
      </c>
      <c r="C41" s="13"/>
      <c r="D41" s="338" t="s">
        <v>998</v>
      </c>
      <c r="E41" s="339"/>
      <c r="F41" s="70"/>
      <c r="G41" s="340"/>
      <c r="H41" s="341"/>
      <c r="I41" s="341"/>
      <c r="J41" s="342"/>
      <c r="K41" s="58"/>
      <c r="L41" s="163"/>
      <c r="M41" s="151"/>
      <c r="N41" s="151"/>
      <c r="O41" s="152"/>
      <c r="P41" s="165" t="str">
        <f>IF(AND(D29="No",D35="No"),"","(*)")</f>
        <v>(*)</v>
      </c>
      <c r="Q41" s="12"/>
      <c r="R41" s="12"/>
      <c r="S41" s="12"/>
      <c r="T41" s="12"/>
      <c r="U41" s="12"/>
      <c r="V41" s="12"/>
      <c r="W41" s="12"/>
      <c r="X41" s="12"/>
      <c r="Y41" s="12"/>
      <c r="Z41" s="12"/>
      <c r="AA41" s="12"/>
      <c r="AB41" s="12"/>
      <c r="AC41" s="12"/>
      <c r="AD41" s="12"/>
      <c r="AE41" s="12"/>
      <c r="AF41" s="12"/>
      <c r="AG41" s="12"/>
      <c r="AH41" s="12"/>
    </row>
    <row r="42" spans="1:34" ht="18">
      <c r="A42" s="64"/>
      <c r="B42" s="27"/>
      <c r="C42" s="13"/>
      <c r="D42" s="27"/>
      <c r="E42" s="27"/>
      <c r="F42" s="113"/>
      <c r="G42" s="27"/>
      <c r="H42" s="178"/>
      <c r="I42" s="178"/>
      <c r="J42" s="178"/>
      <c r="K42" s="58"/>
      <c r="L42" s="157"/>
      <c r="M42" s="151"/>
      <c r="N42" s="151"/>
      <c r="O42" s="152"/>
      <c r="Q42" s="12"/>
      <c r="R42" s="12"/>
      <c r="S42" s="12"/>
      <c r="T42" s="12"/>
      <c r="U42" s="12"/>
      <c r="V42" s="12"/>
      <c r="W42" s="12"/>
      <c r="X42" s="12"/>
      <c r="Y42" s="12"/>
      <c r="Z42" s="12"/>
      <c r="AA42" s="12"/>
      <c r="AB42" s="12"/>
      <c r="AC42" s="12"/>
      <c r="AD42" s="12"/>
      <c r="AE42" s="12"/>
      <c r="AF42" s="12"/>
      <c r="AG42" s="12"/>
      <c r="AH42" s="12"/>
    </row>
    <row r="43" spans="1:34" ht="48.6" customHeight="1">
      <c r="A43" s="64"/>
      <c r="B43" s="67" t="str">
        <f ca="1">OFFSET(L!$C$1,MATCH("Declaration"&amp;ADDRESS(ROW(),COLUMN(),4),L!$A:$A,0)-1,SL,,)&amp;Q$37</f>
        <v>4) Does 100 percent of the 3TG (necessary to the functionality or production of your products) originate from recycled or scrap sources?  (*)</v>
      </c>
      <c r="C43" s="13"/>
      <c r="D43" s="337" t="str">
        <f ca="1">D25</f>
        <v>Answer</v>
      </c>
      <c r="E43" s="337"/>
      <c r="F43" s="21"/>
      <c r="G43" s="67" t="str">
        <f ca="1">G25</f>
        <v>Comments</v>
      </c>
      <c r="H43" s="67"/>
      <c r="I43" s="67"/>
      <c r="J43" s="112"/>
      <c r="K43" s="58"/>
      <c r="L43" s="157" t="s">
        <v>2590</v>
      </c>
      <c r="M43" s="151"/>
      <c r="N43" s="151"/>
      <c r="O43" s="152"/>
      <c r="P43" s="12"/>
      <c r="Q43" s="12"/>
      <c r="R43" s="12"/>
      <c r="S43" s="12"/>
      <c r="T43" s="12"/>
      <c r="U43" s="12"/>
      <c r="V43" s="12"/>
      <c r="W43" s="12"/>
      <c r="X43" s="12"/>
      <c r="Y43" s="12"/>
      <c r="Z43" s="12"/>
      <c r="AA43" s="12"/>
      <c r="AB43" s="12"/>
      <c r="AC43" s="12"/>
      <c r="AD43" s="12"/>
      <c r="AE43" s="12"/>
      <c r="AF43" s="12"/>
      <c r="AG43" s="12"/>
      <c r="AH43" s="12"/>
    </row>
    <row r="44" spans="1:34" ht="22.5">
      <c r="A44" s="64"/>
      <c r="B44" s="63" t="str">
        <f ca="1">B38</f>
        <v>Tantalum  (*)</v>
      </c>
      <c r="C44" s="13"/>
      <c r="D44" s="338" t="s">
        <v>999</v>
      </c>
      <c r="E44" s="339"/>
      <c r="F44" s="70"/>
      <c r="G44" s="340"/>
      <c r="H44" s="341"/>
      <c r="I44" s="341"/>
      <c r="J44" s="342"/>
      <c r="K44" s="58"/>
      <c r="L44" s="163"/>
      <c r="M44" s="153"/>
      <c r="N44" s="151"/>
      <c r="O44" s="152"/>
      <c r="P44" s="12"/>
      <c r="Q44" s="12"/>
      <c r="R44" s="12"/>
      <c r="S44" s="12"/>
      <c r="T44" s="12"/>
      <c r="U44" s="12"/>
      <c r="V44" s="12"/>
      <c r="W44" s="12"/>
      <c r="X44" s="12"/>
      <c r="Y44" s="12"/>
      <c r="Z44" s="12"/>
      <c r="AA44" s="12"/>
      <c r="AB44" s="12"/>
      <c r="AC44" s="12"/>
      <c r="AD44" s="12"/>
      <c r="AE44" s="12"/>
      <c r="AF44" s="12"/>
      <c r="AG44" s="12"/>
      <c r="AH44" s="12"/>
    </row>
    <row r="45" spans="1:34" ht="22.5">
      <c r="A45" s="64"/>
      <c r="B45" s="63" t="str">
        <f ca="1">B39</f>
        <v>Tin  (*)</v>
      </c>
      <c r="C45" s="13"/>
      <c r="D45" s="338" t="s">
        <v>999</v>
      </c>
      <c r="E45" s="339"/>
      <c r="F45" s="70"/>
      <c r="G45" s="340"/>
      <c r="H45" s="341"/>
      <c r="I45" s="341"/>
      <c r="J45" s="342"/>
      <c r="K45" s="58"/>
      <c r="L45" s="163"/>
      <c r="M45" s="151"/>
      <c r="N45" s="151"/>
      <c r="O45" s="152"/>
      <c r="P45" s="12"/>
      <c r="Q45" s="12"/>
      <c r="R45" s="12"/>
      <c r="S45" s="12"/>
      <c r="T45" s="12"/>
      <c r="U45" s="12"/>
      <c r="V45" s="12"/>
      <c r="W45" s="12"/>
      <c r="X45" s="12"/>
      <c r="Y45" s="12"/>
      <c r="Z45" s="12"/>
      <c r="AA45" s="12"/>
      <c r="AB45" s="12"/>
      <c r="AC45" s="12"/>
      <c r="AD45" s="12"/>
      <c r="AE45" s="12"/>
      <c r="AF45" s="12"/>
      <c r="AG45" s="12"/>
      <c r="AH45" s="12"/>
    </row>
    <row r="46" spans="1:34" ht="22.5">
      <c r="A46" s="64"/>
      <c r="B46" s="63" t="str">
        <f ca="1">B40</f>
        <v>Gold  (*)</v>
      </c>
      <c r="C46" s="13"/>
      <c r="D46" s="338" t="s">
        <v>999</v>
      </c>
      <c r="E46" s="339"/>
      <c r="F46" s="70"/>
      <c r="G46" s="340"/>
      <c r="H46" s="341"/>
      <c r="I46" s="341"/>
      <c r="J46" s="342"/>
      <c r="K46" s="58"/>
      <c r="L46" s="163"/>
      <c r="M46" s="151"/>
      <c r="N46" s="151"/>
      <c r="O46" s="152"/>
      <c r="P46" s="12"/>
      <c r="Q46" s="12"/>
      <c r="R46" s="12"/>
      <c r="S46" s="12"/>
      <c r="T46" s="12"/>
      <c r="U46" s="12"/>
      <c r="V46" s="12"/>
      <c r="W46" s="12"/>
      <c r="X46" s="12"/>
      <c r="Y46" s="12"/>
      <c r="Z46" s="12"/>
      <c r="AA46" s="12"/>
      <c r="AB46" s="12"/>
      <c r="AC46" s="12"/>
      <c r="AD46" s="12"/>
      <c r="AE46" s="12"/>
      <c r="AF46" s="12"/>
      <c r="AG46" s="12"/>
      <c r="AH46" s="12"/>
    </row>
    <row r="47" spans="1:34" ht="22.5">
      <c r="A47" s="64"/>
      <c r="B47" s="63" t="str">
        <f ca="1">B41</f>
        <v>Tungsten  (*)</v>
      </c>
      <c r="C47" s="13"/>
      <c r="D47" s="338" t="s">
        <v>999</v>
      </c>
      <c r="E47" s="339"/>
      <c r="F47" s="70"/>
      <c r="G47" s="340"/>
      <c r="H47" s="341"/>
      <c r="I47" s="341"/>
      <c r="J47" s="342"/>
      <c r="K47" s="58"/>
      <c r="L47" s="163"/>
      <c r="M47" s="151"/>
      <c r="N47" s="151"/>
      <c r="O47" s="152"/>
      <c r="P47" s="12"/>
      <c r="Q47" s="12"/>
      <c r="R47" s="12"/>
      <c r="S47" s="12"/>
      <c r="T47" s="12"/>
      <c r="U47" s="12"/>
      <c r="V47" s="12"/>
      <c r="W47" s="12"/>
      <c r="X47" s="12"/>
      <c r="Y47" s="12"/>
      <c r="Z47" s="12"/>
      <c r="AA47" s="12"/>
      <c r="AB47" s="12"/>
      <c r="AC47" s="12"/>
      <c r="AD47" s="12"/>
      <c r="AE47" s="12"/>
      <c r="AF47" s="12"/>
      <c r="AG47" s="12"/>
      <c r="AH47" s="12"/>
    </row>
    <row r="48" spans="1:34" ht="18">
      <c r="A48" s="64"/>
      <c r="B48" s="27"/>
      <c r="C48" s="13"/>
      <c r="D48" s="27"/>
      <c r="E48" s="27"/>
      <c r="F48" s="113"/>
      <c r="G48" s="27"/>
      <c r="H48" s="178"/>
      <c r="I48" s="178"/>
      <c r="J48" s="178"/>
      <c r="K48" s="58"/>
      <c r="L48" s="157"/>
      <c r="M48" s="151"/>
      <c r="N48" s="151"/>
      <c r="O48" s="152"/>
      <c r="P48" s="12"/>
      <c r="Q48" s="12"/>
      <c r="R48" s="12"/>
      <c r="S48" s="12"/>
      <c r="T48" s="12"/>
      <c r="U48" s="12"/>
      <c r="V48" s="12"/>
      <c r="W48" s="12"/>
      <c r="X48" s="12"/>
      <c r="Y48" s="12"/>
      <c r="Z48" s="12"/>
      <c r="AA48" s="12"/>
      <c r="AB48" s="12"/>
      <c r="AC48" s="12"/>
      <c r="AD48" s="12"/>
      <c r="AE48" s="12"/>
      <c r="AF48" s="12"/>
      <c r="AG48" s="12"/>
      <c r="AH48" s="12"/>
    </row>
    <row r="49" spans="1:34" ht="53.45" customHeight="1">
      <c r="A49" s="64"/>
      <c r="B49" s="188" t="str">
        <f ca="1">OFFSET(L!$C$1,MATCH("Declaration"&amp;ADDRESS(ROW(),COLUMN(),4),L!$A:$A,0)-1,SL,,)&amp;Q$37</f>
        <v>5) Have you received data/information for each 3TG from all relevant suppliers? (*)</v>
      </c>
      <c r="C49" s="13"/>
      <c r="D49" s="337" t="str">
        <f ca="1">D25</f>
        <v>Answer</v>
      </c>
      <c r="E49" s="337"/>
      <c r="F49" s="21"/>
      <c r="G49" s="67" t="str">
        <f ca="1">G25</f>
        <v>Comments</v>
      </c>
      <c r="H49" s="179"/>
      <c r="I49" s="179"/>
      <c r="J49" s="179"/>
      <c r="K49" s="58"/>
      <c r="L49" s="157" t="s">
        <v>2591</v>
      </c>
      <c r="M49" s="151"/>
      <c r="N49" s="151"/>
      <c r="O49" s="152"/>
      <c r="P49" s="12"/>
      <c r="Q49" s="12"/>
      <c r="R49" s="12"/>
      <c r="S49" s="12"/>
      <c r="T49" s="12"/>
      <c r="U49" s="12"/>
      <c r="V49" s="12"/>
      <c r="W49" s="12"/>
      <c r="X49" s="12"/>
      <c r="Y49" s="12"/>
      <c r="Z49" s="12"/>
      <c r="AA49" s="12"/>
      <c r="AB49" s="12"/>
      <c r="AC49" s="12"/>
      <c r="AD49" s="12"/>
      <c r="AE49" s="12"/>
      <c r="AF49" s="12"/>
      <c r="AG49" s="12"/>
      <c r="AH49" s="12"/>
    </row>
    <row r="50" spans="1:34" ht="22.5">
      <c r="A50" s="64"/>
      <c r="B50" s="63" t="str">
        <f ca="1">B38</f>
        <v>Tantalum  (*)</v>
      </c>
      <c r="C50" s="57"/>
      <c r="D50" s="338" t="s">
        <v>1003</v>
      </c>
      <c r="E50" s="339"/>
      <c r="F50" s="70"/>
      <c r="G50" s="340"/>
      <c r="H50" s="341"/>
      <c r="I50" s="341"/>
      <c r="J50" s="342"/>
      <c r="K50" s="58"/>
      <c r="L50" s="163"/>
      <c r="M50" s="153"/>
      <c r="N50" s="151"/>
      <c r="O50" s="152"/>
      <c r="P50" s="12"/>
      <c r="Q50" s="12"/>
      <c r="R50" s="12"/>
      <c r="S50" s="12"/>
      <c r="T50" s="12"/>
      <c r="U50" s="12"/>
      <c r="V50" s="12"/>
      <c r="W50" s="12"/>
      <c r="X50" s="12"/>
      <c r="Y50" s="12"/>
      <c r="Z50" s="12"/>
      <c r="AA50" s="12"/>
      <c r="AB50" s="12"/>
      <c r="AC50" s="12"/>
      <c r="AD50" s="12"/>
      <c r="AE50" s="12"/>
      <c r="AF50" s="12"/>
      <c r="AG50" s="12"/>
      <c r="AH50" s="12"/>
    </row>
    <row r="51" spans="1:34" ht="22.5">
      <c r="A51" s="64"/>
      <c r="B51" s="63" t="str">
        <f ca="1">B39</f>
        <v>Tin  (*)</v>
      </c>
      <c r="C51" s="57"/>
      <c r="D51" s="338" t="s">
        <v>1003</v>
      </c>
      <c r="E51" s="339"/>
      <c r="F51" s="70"/>
      <c r="G51" s="340"/>
      <c r="H51" s="341"/>
      <c r="I51" s="341"/>
      <c r="J51" s="342"/>
      <c r="K51" s="58"/>
      <c r="L51" s="163"/>
      <c r="M51" s="151"/>
      <c r="N51" s="151"/>
      <c r="O51" s="152"/>
      <c r="P51" s="12"/>
      <c r="Q51" s="12"/>
      <c r="R51" s="12"/>
      <c r="S51" s="12"/>
      <c r="T51" s="12"/>
      <c r="U51" s="12"/>
      <c r="V51" s="12"/>
      <c r="W51" s="12"/>
      <c r="X51" s="12"/>
      <c r="Y51" s="12"/>
      <c r="Z51" s="12"/>
      <c r="AA51" s="12"/>
      <c r="AB51" s="12"/>
      <c r="AC51" s="12"/>
      <c r="AD51" s="12"/>
      <c r="AE51" s="12"/>
      <c r="AF51" s="12"/>
      <c r="AG51" s="12"/>
      <c r="AH51" s="12"/>
    </row>
    <row r="52" spans="1:34" ht="22.5">
      <c r="A52" s="64"/>
      <c r="B52" s="63" t="str">
        <f ca="1">B40</f>
        <v>Gold  (*)</v>
      </c>
      <c r="C52" s="57"/>
      <c r="D52" s="338" t="s">
        <v>1003</v>
      </c>
      <c r="E52" s="339"/>
      <c r="F52" s="70"/>
      <c r="G52" s="340"/>
      <c r="H52" s="341"/>
      <c r="I52" s="341"/>
      <c r="J52" s="342"/>
      <c r="K52" s="58"/>
      <c r="L52" s="163"/>
      <c r="M52" s="151"/>
      <c r="N52" s="151"/>
      <c r="O52" s="152"/>
      <c r="P52" s="12"/>
      <c r="Q52" s="12"/>
      <c r="R52" s="12"/>
      <c r="S52" s="12"/>
      <c r="T52" s="12"/>
      <c r="U52" s="12"/>
      <c r="V52" s="12"/>
      <c r="W52" s="12"/>
      <c r="X52" s="12"/>
      <c r="Y52" s="12"/>
      <c r="Z52" s="12"/>
      <c r="AA52" s="12"/>
      <c r="AB52" s="12"/>
      <c r="AC52" s="12"/>
      <c r="AD52" s="12"/>
      <c r="AE52" s="12"/>
      <c r="AF52" s="12"/>
      <c r="AG52" s="12"/>
      <c r="AH52" s="12"/>
    </row>
    <row r="53" spans="1:34" ht="22.5">
      <c r="A53" s="64"/>
      <c r="B53" s="63" t="str">
        <f ca="1">B41</f>
        <v>Tungsten  (*)</v>
      </c>
      <c r="C53" s="57"/>
      <c r="D53" s="338" t="s">
        <v>1003</v>
      </c>
      <c r="E53" s="339"/>
      <c r="F53" s="70"/>
      <c r="G53" s="340"/>
      <c r="H53" s="341"/>
      <c r="I53" s="341"/>
      <c r="J53" s="342"/>
      <c r="K53" s="58"/>
      <c r="L53" s="163"/>
      <c r="M53" s="151"/>
      <c r="N53" s="151"/>
      <c r="O53" s="152"/>
      <c r="P53" s="12"/>
      <c r="Q53" s="12"/>
      <c r="R53" s="12"/>
      <c r="S53" s="12"/>
      <c r="T53" s="12"/>
      <c r="U53" s="12"/>
      <c r="V53" s="12"/>
      <c r="W53" s="12"/>
      <c r="X53" s="12"/>
      <c r="Y53" s="12"/>
      <c r="Z53" s="12"/>
      <c r="AA53" s="12"/>
      <c r="AB53" s="12"/>
      <c r="AC53" s="12"/>
      <c r="AD53" s="12"/>
      <c r="AE53" s="12"/>
      <c r="AF53" s="12"/>
      <c r="AG53" s="12"/>
      <c r="AH53" s="12"/>
    </row>
    <row r="54" spans="1:34" ht="15.75">
      <c r="A54" s="64"/>
      <c r="B54" s="69"/>
      <c r="C54" s="13"/>
      <c r="D54" s="114"/>
      <c r="E54" s="114"/>
      <c r="F54" s="113"/>
      <c r="G54" s="115"/>
      <c r="H54" s="115"/>
      <c r="I54" s="115"/>
      <c r="J54" s="115"/>
      <c r="K54" s="58"/>
      <c r="L54" s="157"/>
      <c r="M54" s="158"/>
      <c r="N54" s="151"/>
      <c r="O54" s="152"/>
      <c r="P54" s="12"/>
      <c r="Q54" s="12"/>
      <c r="R54" s="12"/>
      <c r="S54" s="12"/>
      <c r="T54" s="12"/>
      <c r="U54" s="12"/>
      <c r="V54" s="12"/>
      <c r="W54" s="12"/>
      <c r="X54" s="12"/>
      <c r="Y54" s="12"/>
      <c r="Z54" s="12"/>
      <c r="AA54" s="12"/>
      <c r="AB54" s="12"/>
      <c r="AC54" s="12"/>
      <c r="AD54" s="12"/>
      <c r="AE54" s="12"/>
      <c r="AF54" s="12"/>
      <c r="AG54" s="12"/>
      <c r="AH54" s="12"/>
    </row>
    <row r="55" spans="1:34" ht="45.75">
      <c r="A55" s="64"/>
      <c r="B55" s="188" t="str">
        <f ca="1">OFFSET(L!$C$1,MATCH("Declaration"&amp;ADDRESS(ROW(),COLUMN(),4),L!$A:$A,0)-1,SL,,)&amp;Q$37</f>
        <v>6) Have you identified all of the smelters supplying the 3TG to your supply chain?  (*)</v>
      </c>
      <c r="C55" s="13"/>
      <c r="D55" s="337" t="str">
        <f ca="1">D25</f>
        <v>Answer</v>
      </c>
      <c r="E55" s="337"/>
      <c r="F55" s="21"/>
      <c r="G55" s="67" t="str">
        <f ca="1">G25</f>
        <v>Comments</v>
      </c>
      <c r="H55" s="385"/>
      <c r="I55" s="385"/>
      <c r="J55" s="385"/>
      <c r="K55" s="58"/>
      <c r="L55" s="157" t="s">
        <v>2589</v>
      </c>
      <c r="M55" s="158"/>
      <c r="N55" s="151"/>
      <c r="O55" s="152"/>
      <c r="P55" s="12"/>
      <c r="Q55" s="12"/>
      <c r="R55" s="12"/>
      <c r="S55" s="12"/>
      <c r="T55" s="12"/>
      <c r="U55" s="12"/>
      <c r="V55" s="12"/>
      <c r="W55" s="12"/>
      <c r="X55" s="12"/>
      <c r="Y55" s="12"/>
      <c r="Z55" s="12"/>
      <c r="AA55" s="12"/>
      <c r="AB55" s="12"/>
      <c r="AC55" s="12"/>
      <c r="AD55" s="12"/>
      <c r="AE55" s="12"/>
      <c r="AF55" s="12"/>
      <c r="AG55" s="12"/>
      <c r="AH55" s="12"/>
    </row>
    <row r="56" spans="1:34" ht="22.5">
      <c r="A56" s="64"/>
      <c r="B56" s="63" t="str">
        <f ca="1">B38</f>
        <v>Tantalum  (*)</v>
      </c>
      <c r="C56" s="13"/>
      <c r="D56" s="338" t="s">
        <v>999</v>
      </c>
      <c r="E56" s="339"/>
      <c r="F56" s="70"/>
      <c r="G56" s="340"/>
      <c r="H56" s="341"/>
      <c r="I56" s="341"/>
      <c r="J56" s="342"/>
      <c r="K56" s="58"/>
      <c r="L56" s="163"/>
      <c r="M56" s="153"/>
      <c r="N56" s="151"/>
      <c r="O56" s="152"/>
      <c r="P56" s="12"/>
      <c r="Q56" s="12"/>
      <c r="R56" s="12"/>
      <c r="S56" s="12"/>
      <c r="T56" s="12"/>
      <c r="U56" s="12"/>
      <c r="V56" s="12"/>
      <c r="W56" s="12"/>
      <c r="X56" s="12"/>
      <c r="Y56" s="12"/>
      <c r="Z56" s="12"/>
      <c r="AA56" s="12"/>
      <c r="AB56" s="12"/>
      <c r="AC56" s="12"/>
      <c r="AD56" s="12"/>
      <c r="AE56" s="12"/>
      <c r="AF56" s="12"/>
      <c r="AG56" s="12"/>
      <c r="AH56" s="12"/>
    </row>
    <row r="57" spans="1:34" ht="22.5">
      <c r="A57" s="64"/>
      <c r="B57" s="63" t="str">
        <f ca="1">B39</f>
        <v>Tin  (*)</v>
      </c>
      <c r="C57" s="13"/>
      <c r="D57" s="338" t="s">
        <v>999</v>
      </c>
      <c r="E57" s="339"/>
      <c r="F57" s="70"/>
      <c r="G57" s="340"/>
      <c r="H57" s="341"/>
      <c r="I57" s="341"/>
      <c r="J57" s="342"/>
      <c r="K57" s="58"/>
      <c r="L57" s="163"/>
      <c r="M57" s="151"/>
      <c r="N57" s="151"/>
      <c r="O57" s="152"/>
      <c r="P57" s="12"/>
      <c r="Q57" s="12"/>
      <c r="R57" s="12"/>
      <c r="S57" s="12"/>
      <c r="T57" s="12"/>
      <c r="U57" s="12"/>
      <c r="V57" s="12"/>
      <c r="W57" s="12"/>
      <c r="X57" s="12"/>
      <c r="Y57" s="12"/>
      <c r="Z57" s="12"/>
      <c r="AA57" s="12"/>
      <c r="AB57" s="12"/>
      <c r="AC57" s="12"/>
      <c r="AD57" s="12"/>
      <c r="AE57" s="12"/>
      <c r="AF57" s="12"/>
      <c r="AG57" s="12"/>
      <c r="AH57" s="12"/>
    </row>
    <row r="58" spans="1:34" ht="22.5">
      <c r="A58" s="64"/>
      <c r="B58" s="63" t="str">
        <f ca="1">B40</f>
        <v>Gold  (*)</v>
      </c>
      <c r="C58" s="13"/>
      <c r="D58" s="338" t="s">
        <v>999</v>
      </c>
      <c r="E58" s="339"/>
      <c r="F58" s="70"/>
      <c r="G58" s="340"/>
      <c r="H58" s="341"/>
      <c r="I58" s="341"/>
      <c r="J58" s="342"/>
      <c r="K58" s="58"/>
      <c r="L58" s="163"/>
      <c r="M58" s="151"/>
      <c r="N58" s="151"/>
      <c r="O58" s="152"/>
      <c r="P58" s="12"/>
      <c r="Q58" s="12"/>
      <c r="R58" s="12"/>
      <c r="S58" s="12"/>
      <c r="T58" s="12"/>
      <c r="U58" s="12"/>
      <c r="V58" s="12"/>
      <c r="W58" s="12"/>
      <c r="X58" s="12"/>
      <c r="Y58" s="12"/>
      <c r="Z58" s="12"/>
      <c r="AA58" s="12"/>
      <c r="AB58" s="12"/>
      <c r="AC58" s="12"/>
      <c r="AD58" s="12"/>
      <c r="AE58" s="12"/>
      <c r="AF58" s="12"/>
      <c r="AG58" s="12"/>
      <c r="AH58" s="12"/>
    </row>
    <row r="59" spans="1:34" ht="22.5">
      <c r="A59" s="64"/>
      <c r="B59" s="63" t="str">
        <f ca="1">B41</f>
        <v>Tungsten  (*)</v>
      </c>
      <c r="C59" s="13"/>
      <c r="D59" s="338" t="s">
        <v>999</v>
      </c>
      <c r="E59" s="339"/>
      <c r="F59" s="70"/>
      <c r="G59" s="340"/>
      <c r="H59" s="341"/>
      <c r="I59" s="341"/>
      <c r="J59" s="342"/>
      <c r="K59" s="58"/>
      <c r="L59" s="163"/>
      <c r="M59" s="151"/>
      <c r="N59" s="151"/>
      <c r="O59" s="152"/>
      <c r="P59" s="12"/>
      <c r="Q59" s="12"/>
      <c r="R59" s="12"/>
      <c r="S59" s="12"/>
      <c r="T59" s="12"/>
      <c r="U59" s="12"/>
      <c r="V59" s="12"/>
      <c r="W59" s="12"/>
      <c r="X59" s="12"/>
      <c r="Y59" s="12"/>
      <c r="Z59" s="12"/>
      <c r="AA59" s="12"/>
      <c r="AB59" s="12"/>
      <c r="AC59" s="12"/>
      <c r="AD59" s="12"/>
      <c r="AE59" s="12"/>
      <c r="AF59" s="12"/>
      <c r="AG59" s="12"/>
      <c r="AH59" s="12"/>
    </row>
    <row r="60" spans="1:34" ht="15.75">
      <c r="A60" s="64"/>
      <c r="B60" s="27"/>
      <c r="C60" s="13"/>
      <c r="D60" s="116"/>
      <c r="E60" s="116"/>
      <c r="F60" s="113"/>
      <c r="G60" s="117"/>
      <c r="H60" s="117"/>
      <c r="I60" s="117"/>
      <c r="J60" s="117"/>
      <c r="K60" s="58"/>
      <c r="L60" s="157"/>
      <c r="M60" s="158"/>
      <c r="N60" s="151"/>
      <c r="O60" s="152"/>
      <c r="P60" s="12"/>
      <c r="Q60" s="12"/>
      <c r="R60" s="12"/>
      <c r="S60" s="12"/>
      <c r="T60" s="12"/>
      <c r="U60" s="12"/>
      <c r="V60" s="12"/>
      <c r="W60" s="12"/>
      <c r="X60" s="12"/>
      <c r="Y60" s="12"/>
      <c r="Z60" s="12"/>
      <c r="AA60" s="12"/>
      <c r="AB60" s="12"/>
      <c r="AC60" s="12"/>
      <c r="AD60" s="12"/>
      <c r="AE60" s="12"/>
      <c r="AF60" s="12"/>
      <c r="AG60" s="12"/>
      <c r="AH60" s="12"/>
    </row>
    <row r="61" spans="1:34" ht="45.75">
      <c r="A61" s="64"/>
      <c r="B61" s="67" t="str">
        <f ca="1">OFFSET(L!$C$1,MATCH("Declaration"&amp;ADDRESS(ROW(),COLUMN(),4),L!$A:$A,0)-1,SL,,)&amp;Q$37</f>
        <v>7) Has all applicable smelter information received by your company been reported in this declaration?  (*)</v>
      </c>
      <c r="C61" s="13"/>
      <c r="D61" s="337" t="str">
        <f ca="1">D25</f>
        <v>Answer</v>
      </c>
      <c r="E61" s="337"/>
      <c r="F61" s="21"/>
      <c r="G61" s="67" t="str">
        <f ca="1">G25</f>
        <v>Comments</v>
      </c>
      <c r="H61" s="385" t="str">
        <f>IF(Q69="(*)","Click here to enter smelter names","")</f>
        <v/>
      </c>
      <c r="I61" s="385"/>
      <c r="J61" s="385"/>
      <c r="K61" s="58"/>
      <c r="L61" s="157" t="s">
        <v>2589</v>
      </c>
      <c r="M61" s="158"/>
      <c r="N61" s="151"/>
      <c r="O61" s="152"/>
      <c r="P61" s="12"/>
      <c r="Q61" s="12"/>
      <c r="R61" s="12"/>
      <c r="S61" s="12"/>
      <c r="T61" s="12"/>
      <c r="U61" s="12"/>
      <c r="V61" s="12"/>
      <c r="W61" s="12"/>
      <c r="X61" s="12"/>
      <c r="Y61" s="12"/>
      <c r="Z61" s="12"/>
      <c r="AA61" s="12"/>
      <c r="AB61" s="12"/>
      <c r="AC61" s="12"/>
      <c r="AD61" s="12"/>
      <c r="AE61" s="12"/>
      <c r="AF61" s="12"/>
      <c r="AG61" s="12"/>
      <c r="AH61" s="12"/>
    </row>
    <row r="62" spans="1:34" ht="22.5">
      <c r="A62" s="64"/>
      <c r="B62" s="63" t="str">
        <f ca="1">B38</f>
        <v>Tantalum  (*)</v>
      </c>
      <c r="C62" s="57"/>
      <c r="D62" s="338" t="s">
        <v>998</v>
      </c>
      <c r="E62" s="339"/>
      <c r="F62" s="71"/>
      <c r="G62" s="340"/>
      <c r="H62" s="341"/>
      <c r="I62" s="341"/>
      <c r="J62" s="342"/>
      <c r="K62" s="58"/>
      <c r="L62" s="163"/>
      <c r="M62" s="153"/>
      <c r="N62" s="151"/>
      <c r="O62" s="152"/>
      <c r="P62" s="12"/>
      <c r="Q62" s="12"/>
      <c r="R62" s="12"/>
      <c r="S62" s="12"/>
      <c r="T62" s="12"/>
      <c r="U62" s="12"/>
      <c r="V62" s="12"/>
      <c r="W62" s="12"/>
      <c r="X62" s="12"/>
      <c r="Y62" s="12"/>
      <c r="Z62" s="12"/>
      <c r="AA62" s="12"/>
      <c r="AB62" s="12"/>
      <c r="AC62" s="12"/>
      <c r="AD62" s="12"/>
      <c r="AE62" s="12"/>
      <c r="AF62" s="12"/>
      <c r="AG62" s="12"/>
      <c r="AH62" s="12"/>
    </row>
    <row r="63" spans="1:34" ht="22.5">
      <c r="A63" s="64"/>
      <c r="B63" s="63" t="str">
        <f ca="1">B39</f>
        <v>Tin  (*)</v>
      </c>
      <c r="C63" s="57"/>
      <c r="D63" s="338" t="s">
        <v>998</v>
      </c>
      <c r="E63" s="339"/>
      <c r="F63" s="71"/>
      <c r="G63" s="340"/>
      <c r="H63" s="341"/>
      <c r="I63" s="341"/>
      <c r="J63" s="342"/>
      <c r="K63" s="58"/>
      <c r="L63" s="163"/>
      <c r="M63" s="151"/>
      <c r="N63" s="151"/>
      <c r="O63" s="152"/>
      <c r="P63" s="12"/>
      <c r="Q63" s="12"/>
      <c r="R63" s="12"/>
      <c r="S63" s="12"/>
      <c r="T63" s="12"/>
      <c r="U63" s="12"/>
      <c r="V63" s="12"/>
      <c r="W63" s="12"/>
      <c r="X63" s="12"/>
      <c r="Y63" s="12"/>
      <c r="Z63" s="12"/>
      <c r="AA63" s="12"/>
      <c r="AB63" s="12"/>
      <c r="AC63" s="12"/>
      <c r="AD63" s="12"/>
      <c r="AE63" s="12"/>
      <c r="AF63" s="12"/>
      <c r="AG63" s="12"/>
      <c r="AH63" s="12"/>
    </row>
    <row r="64" spans="1:34" ht="22.5">
      <c r="A64" s="64"/>
      <c r="B64" s="63" t="str">
        <f ca="1">B40</f>
        <v>Gold  (*)</v>
      </c>
      <c r="C64" s="57"/>
      <c r="D64" s="338" t="s">
        <v>998</v>
      </c>
      <c r="E64" s="339"/>
      <c r="F64" s="71"/>
      <c r="G64" s="340"/>
      <c r="H64" s="341"/>
      <c r="I64" s="341"/>
      <c r="J64" s="342"/>
      <c r="K64" s="58"/>
      <c r="L64" s="163"/>
      <c r="M64" s="151"/>
      <c r="N64" s="151"/>
      <c r="O64" s="152"/>
      <c r="P64" s="12"/>
      <c r="Q64" s="12"/>
      <c r="R64" s="12"/>
      <c r="S64" s="12"/>
      <c r="T64" s="12"/>
      <c r="U64" s="12"/>
      <c r="V64" s="12"/>
      <c r="W64" s="12"/>
      <c r="X64" s="12"/>
      <c r="Y64" s="12"/>
      <c r="Z64" s="12"/>
      <c r="AA64" s="12"/>
      <c r="AB64" s="12"/>
      <c r="AC64" s="12"/>
      <c r="AD64" s="12"/>
      <c r="AE64" s="12"/>
      <c r="AF64" s="12"/>
      <c r="AG64" s="12"/>
      <c r="AH64" s="12"/>
    </row>
    <row r="65" spans="1:34" ht="22.5">
      <c r="A65" s="60"/>
      <c r="B65" s="63" t="str">
        <f ca="1">B41</f>
        <v>Tungsten  (*)</v>
      </c>
      <c r="C65" s="72"/>
      <c r="D65" s="338" t="s">
        <v>998</v>
      </c>
      <c r="E65" s="339"/>
      <c r="F65" s="73"/>
      <c r="G65" s="340"/>
      <c r="H65" s="341"/>
      <c r="I65" s="341"/>
      <c r="J65" s="342"/>
      <c r="K65" s="61"/>
      <c r="L65" s="164"/>
      <c r="M65" s="151"/>
      <c r="N65" s="151"/>
      <c r="O65" s="152"/>
      <c r="P65" s="12"/>
      <c r="Q65" s="12"/>
      <c r="R65" s="12"/>
      <c r="S65" s="12"/>
      <c r="T65" s="12"/>
      <c r="U65" s="12"/>
      <c r="V65" s="12"/>
      <c r="W65" s="12"/>
      <c r="X65" s="12"/>
      <c r="Y65" s="12"/>
      <c r="Z65" s="12"/>
      <c r="AA65" s="12"/>
      <c r="AB65" s="12"/>
      <c r="AC65" s="12"/>
      <c r="AD65" s="12"/>
      <c r="AE65" s="12"/>
      <c r="AF65" s="12"/>
      <c r="AG65" s="12"/>
      <c r="AH65" s="12"/>
    </row>
    <row r="66" spans="1:34" ht="15">
      <c r="A66" s="64"/>
      <c r="B66" s="20"/>
      <c r="C66" s="20"/>
      <c r="D66" s="20"/>
      <c r="E66" s="20"/>
      <c r="F66" s="20"/>
      <c r="G66" s="109"/>
      <c r="H66" s="109"/>
      <c r="I66" s="109"/>
      <c r="J66" s="109"/>
      <c r="K66" s="58"/>
      <c r="L66" s="160"/>
      <c r="M66" s="151"/>
      <c r="N66" s="151"/>
      <c r="O66" s="152"/>
      <c r="P66" s="12"/>
      <c r="Q66" s="12"/>
      <c r="R66" s="12"/>
      <c r="S66" s="12"/>
      <c r="T66" s="12"/>
      <c r="U66" s="12"/>
      <c r="V66" s="12"/>
      <c r="W66" s="12"/>
      <c r="X66" s="12"/>
      <c r="Y66" s="12"/>
      <c r="Z66" s="12"/>
      <c r="AA66" s="12"/>
      <c r="AB66" s="12"/>
      <c r="AC66" s="12"/>
      <c r="AD66" s="12"/>
      <c r="AE66" s="12"/>
      <c r="AF66" s="12"/>
      <c r="AG66" s="12"/>
      <c r="AH66" s="12"/>
    </row>
    <row r="67" spans="1:34" ht="15">
      <c r="A67" s="64"/>
      <c r="B67" s="381" t="str">
        <f ca="1">OFFSET(L!$C$1,MATCH("Declaration"&amp;ADDRESS(ROW(),COLUMN(),4),L!$A:$A,0)-1,SL,,)</f>
        <v>Answer the Following Questions at a Company Level</v>
      </c>
      <c r="C67" s="381"/>
      <c r="D67" s="381"/>
      <c r="E67" s="381"/>
      <c r="F67" s="381"/>
      <c r="G67" s="381"/>
      <c r="H67" s="381"/>
      <c r="I67" s="381"/>
      <c r="J67" s="381"/>
      <c r="K67" s="58"/>
      <c r="L67" s="160"/>
      <c r="M67" s="151"/>
      <c r="N67" s="151"/>
      <c r="O67" s="152"/>
      <c r="P67" s="12"/>
      <c r="Q67" s="12"/>
      <c r="R67" s="12"/>
      <c r="S67" s="12"/>
      <c r="T67" s="12"/>
      <c r="U67" s="12"/>
      <c r="V67" s="12"/>
      <c r="W67" s="12"/>
      <c r="X67" s="12"/>
      <c r="Y67" s="12"/>
      <c r="Z67" s="12"/>
      <c r="AA67" s="12"/>
      <c r="AB67" s="12"/>
      <c r="AC67" s="12"/>
      <c r="AD67" s="12"/>
      <c r="AE67" s="12"/>
      <c r="AF67" s="12"/>
      <c r="AG67" s="12"/>
      <c r="AH67" s="12"/>
    </row>
    <row r="68" spans="1:34" ht="15.75">
      <c r="A68" s="74"/>
      <c r="B68" s="75" t="str">
        <f ca="1">OFFSET(L!$C$1,MATCH("Declaration"&amp;ADDRESS(ROW(),COLUMN(),4),L!$A:$A,0)-1,SL,,)</f>
        <v>Question</v>
      </c>
      <c r="C68" s="110"/>
      <c r="D68" s="349" t="str">
        <f ca="1">D25</f>
        <v>Answer</v>
      </c>
      <c r="E68" s="349"/>
      <c r="F68" s="76"/>
      <c r="G68" s="349" t="str">
        <f ca="1">G25</f>
        <v>Comments</v>
      </c>
      <c r="H68" s="349" t="e">
        <f>HLOOKUP(SL,LT,$O68,0)</f>
        <v>#NAME?</v>
      </c>
      <c r="I68" s="349" t="e">
        <f>HLOOKUP(SL,LT,$O68,0)</f>
        <v>#NAME?</v>
      </c>
      <c r="J68" s="111"/>
      <c r="K68" s="78"/>
      <c r="L68" s="159"/>
      <c r="M68" s="158"/>
      <c r="N68" s="151"/>
      <c r="O68" s="152"/>
      <c r="P68" s="12"/>
      <c r="Q68" s="12"/>
      <c r="R68" s="12"/>
      <c r="S68" s="12"/>
      <c r="T68" s="12"/>
      <c r="U68" s="12"/>
      <c r="V68" s="12"/>
      <c r="W68" s="12"/>
      <c r="X68" s="12"/>
      <c r="Y68" s="12"/>
      <c r="Z68" s="12"/>
      <c r="AA68" s="12"/>
      <c r="AB68" s="12"/>
      <c r="AC68" s="12"/>
      <c r="AD68" s="12"/>
      <c r="AE68" s="12"/>
      <c r="AF68" s="12"/>
      <c r="AG68" s="12"/>
      <c r="AH68" s="12"/>
    </row>
    <row r="69" spans="1:34" ht="30">
      <c r="A69" s="64"/>
      <c r="B69" s="79" t="str">
        <f ca="1">OFFSET(L!$C$1,MATCH("Declaration"&amp;ADDRESS(ROW(),COLUMN(),4),L!$A:$A,0)-1,SL,,)&amp;$Q$37</f>
        <v>A. Do you have a policy in place that addresses conflict minerals sourcing? (*)</v>
      </c>
      <c r="C69" s="80"/>
      <c r="D69" s="338" t="s">
        <v>998</v>
      </c>
      <c r="E69" s="339"/>
      <c r="F69" s="80"/>
      <c r="G69" s="340"/>
      <c r="H69" s="341"/>
      <c r="I69" s="341"/>
      <c r="J69" s="342"/>
      <c r="K69" s="58"/>
      <c r="L69" s="159" t="s">
        <v>2590</v>
      </c>
      <c r="M69" s="158"/>
      <c r="N69" s="151"/>
      <c r="O69" s="152"/>
      <c r="P69" s="12"/>
      <c r="Q69" s="12"/>
      <c r="R69" s="12"/>
      <c r="S69" s="12"/>
      <c r="T69" s="12"/>
      <c r="U69" s="12"/>
      <c r="V69" s="12"/>
      <c r="W69" s="12"/>
      <c r="X69" s="12"/>
      <c r="Y69" s="12"/>
      <c r="Z69" s="12"/>
      <c r="AA69" s="12"/>
      <c r="AB69" s="12"/>
      <c r="AC69" s="12"/>
      <c r="AD69" s="12"/>
      <c r="AE69" s="12"/>
      <c r="AF69" s="12"/>
      <c r="AG69" s="12"/>
      <c r="AH69" s="12"/>
    </row>
    <row r="70" spans="1:34" ht="15.75">
      <c r="A70" s="64"/>
      <c r="B70" s="81"/>
      <c r="C70" s="15"/>
      <c r="D70" s="1"/>
      <c r="E70" s="1"/>
      <c r="F70" s="15"/>
      <c r="G70" s="378"/>
      <c r="H70" s="378"/>
      <c r="I70" s="378"/>
      <c r="J70" s="378"/>
      <c r="K70" s="58"/>
      <c r="L70" s="159"/>
      <c r="M70" s="158"/>
      <c r="N70" s="151"/>
      <c r="O70" s="152"/>
      <c r="P70" s="12"/>
      <c r="Q70" s="12"/>
      <c r="R70" s="12"/>
      <c r="S70" s="12"/>
      <c r="T70" s="12"/>
      <c r="U70" s="12"/>
      <c r="V70" s="12"/>
      <c r="W70" s="12"/>
      <c r="X70" s="12"/>
      <c r="Y70" s="12"/>
      <c r="Z70" s="12"/>
      <c r="AA70" s="12"/>
      <c r="AB70" s="12"/>
      <c r="AC70" s="12"/>
      <c r="AD70" s="12"/>
      <c r="AE70" s="12"/>
      <c r="AF70" s="12"/>
      <c r="AG70" s="12"/>
      <c r="AH70" s="12"/>
    </row>
    <row r="71" spans="1:34" ht="49.15" customHeight="1">
      <c r="A71" s="64"/>
      <c r="B71" s="79" t="str">
        <f ca="1">OFFSET(L!$C$1,MATCH("Declaration"&amp;ADDRESS(ROW(),COLUMN(),4),L!$A:$A,0)-1,SL,,)&amp;$Q$37</f>
        <v>B. Is your conflict minerals sourcing policy publicly available on your website? (Note – If yes, the user shall specify the URL in the comment field.) (*)</v>
      </c>
      <c r="C71" s="80"/>
      <c r="D71" s="338" t="s">
        <v>998</v>
      </c>
      <c r="E71" s="339"/>
      <c r="F71" s="80"/>
      <c r="G71" s="382" t="s">
        <v>8260</v>
      </c>
      <c r="H71" s="383"/>
      <c r="I71" s="383"/>
      <c r="J71" s="384"/>
      <c r="K71" s="58"/>
      <c r="L71" s="159" t="s">
        <v>2591</v>
      </c>
      <c r="M71" s="158"/>
      <c r="N71" s="151"/>
      <c r="O71" s="152"/>
      <c r="P71" s="12"/>
      <c r="Q71" s="12"/>
      <c r="R71" s="12"/>
      <c r="S71" s="12"/>
      <c r="T71" s="12"/>
      <c r="U71" s="12"/>
      <c r="V71" s="12"/>
      <c r="W71" s="12"/>
      <c r="X71" s="12"/>
      <c r="Y71" s="12"/>
      <c r="Z71" s="12"/>
      <c r="AA71" s="12"/>
      <c r="AB71" s="12"/>
      <c r="AC71" s="12"/>
      <c r="AD71" s="12"/>
      <c r="AE71" s="12"/>
      <c r="AF71" s="12"/>
      <c r="AG71" s="12"/>
      <c r="AH71" s="12"/>
    </row>
    <row r="72" spans="1:34" ht="15.75">
      <c r="A72" s="64"/>
      <c r="B72" s="81"/>
      <c r="C72" s="15"/>
      <c r="D72" s="1"/>
      <c r="E72" s="1"/>
      <c r="F72" s="15"/>
      <c r="G72" s="77"/>
      <c r="H72" s="77"/>
      <c r="I72" s="77"/>
      <c r="J72" s="77"/>
      <c r="K72" s="58"/>
      <c r="L72" s="159"/>
      <c r="M72" s="158"/>
      <c r="N72" s="151"/>
      <c r="O72" s="152"/>
      <c r="P72" s="12"/>
      <c r="Q72" s="12"/>
      <c r="R72" s="12"/>
      <c r="S72" s="12"/>
      <c r="T72" s="12"/>
      <c r="U72" s="12"/>
      <c r="V72" s="12"/>
      <c r="W72" s="12"/>
      <c r="X72" s="12"/>
      <c r="Y72" s="12"/>
      <c r="Z72" s="12"/>
      <c r="AA72" s="12"/>
      <c r="AB72" s="12"/>
      <c r="AC72" s="12"/>
      <c r="AD72" s="12"/>
      <c r="AE72" s="12"/>
      <c r="AF72" s="12"/>
      <c r="AG72" s="12"/>
      <c r="AH72" s="12"/>
    </row>
    <row r="73" spans="1:34" ht="36.75" customHeight="1">
      <c r="A73" s="64"/>
      <c r="B73" s="79" t="str">
        <f ca="1">OFFSET(L!$C$1,MATCH("Declaration"&amp;ADDRESS(ROW(),COLUMN(),4),L!$A:$A,0)-1,SL,,)&amp;$Q$37</f>
        <v>C. Do you require your direct suppliers to be DRC conflict-free? (*)</v>
      </c>
      <c r="C73" s="80"/>
      <c r="D73" s="338" t="s">
        <v>998</v>
      </c>
      <c r="E73" s="339"/>
      <c r="F73" s="80"/>
      <c r="G73" s="340"/>
      <c r="H73" s="341"/>
      <c r="I73" s="341"/>
      <c r="J73" s="342"/>
      <c r="K73" s="58"/>
      <c r="L73" s="159" t="s">
        <v>2591</v>
      </c>
      <c r="M73" s="158"/>
      <c r="N73" s="151"/>
      <c r="O73" s="152"/>
      <c r="P73" s="12"/>
      <c r="Q73" s="12"/>
      <c r="R73" s="12"/>
      <c r="S73" s="12"/>
      <c r="T73" s="12"/>
      <c r="U73" s="12"/>
      <c r="V73" s="12"/>
      <c r="W73" s="12"/>
      <c r="X73" s="12"/>
      <c r="Y73" s="12"/>
      <c r="Z73" s="12"/>
      <c r="AA73" s="12"/>
      <c r="AB73" s="12"/>
      <c r="AC73" s="12"/>
      <c r="AD73" s="12"/>
      <c r="AE73" s="12"/>
      <c r="AF73" s="12"/>
      <c r="AG73" s="12"/>
      <c r="AH73" s="12"/>
    </row>
    <row r="74" spans="1:34" ht="15.75">
      <c r="A74" s="64"/>
      <c r="B74" s="81"/>
      <c r="C74" s="15"/>
      <c r="D74" s="1"/>
      <c r="E74" s="1"/>
      <c r="F74" s="15"/>
      <c r="G74" s="77"/>
      <c r="H74" s="77"/>
      <c r="I74" s="77"/>
      <c r="J74" s="77"/>
      <c r="K74" s="58"/>
      <c r="L74" s="159"/>
      <c r="M74" s="158"/>
      <c r="N74" s="151"/>
      <c r="O74" s="152"/>
      <c r="P74" s="12"/>
      <c r="Q74" s="12"/>
      <c r="R74" s="12"/>
      <c r="S74" s="12"/>
      <c r="T74" s="12"/>
      <c r="U74" s="12"/>
      <c r="V74" s="12"/>
      <c r="W74" s="12"/>
      <c r="X74" s="12"/>
      <c r="Y74" s="12"/>
      <c r="Z74" s="12"/>
      <c r="AA74" s="12"/>
      <c r="AB74" s="12"/>
      <c r="AC74" s="12"/>
      <c r="AD74" s="12"/>
      <c r="AE74" s="12"/>
      <c r="AF74" s="12"/>
      <c r="AG74" s="12"/>
      <c r="AH74" s="12"/>
    </row>
    <row r="75" spans="1:34" ht="48" customHeight="1">
      <c r="A75" s="64"/>
      <c r="B75" s="79" t="str">
        <f ca="1">OFFSET(L!$C$1,MATCH("Declaration"&amp;ADDRESS(ROW(),COLUMN(),4),L!$A:$A,0)-1,SL,,)&amp;$Q$37</f>
        <v>D. Do you require your direct suppliers to source the 3TG from smelters whose due diligence practices have been validated by an independent third party audit program? (*)</v>
      </c>
      <c r="C75" s="80"/>
      <c r="D75" s="338" t="s">
        <v>999</v>
      </c>
      <c r="E75" s="339"/>
      <c r="F75" s="80"/>
      <c r="G75" s="340"/>
      <c r="H75" s="341"/>
      <c r="I75" s="341"/>
      <c r="J75" s="342"/>
      <c r="K75" s="58"/>
      <c r="L75" s="159" t="s">
        <v>2672</v>
      </c>
      <c r="M75" s="158"/>
      <c r="N75" s="151"/>
      <c r="O75" s="152"/>
      <c r="P75" s="12"/>
      <c r="Q75" s="12"/>
      <c r="R75" s="12"/>
      <c r="S75" s="12"/>
      <c r="T75" s="12"/>
      <c r="U75" s="12"/>
      <c r="V75" s="12"/>
      <c r="W75" s="12"/>
      <c r="X75" s="12"/>
      <c r="Y75" s="12"/>
      <c r="Z75" s="12"/>
      <c r="AA75" s="12"/>
      <c r="AB75" s="12"/>
      <c r="AC75" s="12"/>
      <c r="AD75" s="12"/>
      <c r="AE75" s="12"/>
      <c r="AF75" s="12"/>
      <c r="AG75" s="12"/>
      <c r="AH75" s="12"/>
    </row>
    <row r="76" spans="1:34" ht="15.75">
      <c r="A76" s="64"/>
      <c r="B76" s="82"/>
      <c r="C76" s="15"/>
      <c r="D76" s="83"/>
      <c r="E76" s="83"/>
      <c r="F76" s="15"/>
      <c r="G76" s="77"/>
      <c r="H76" s="77"/>
      <c r="I76" s="77"/>
      <c r="J76" s="77"/>
      <c r="K76" s="58"/>
      <c r="L76" s="159"/>
      <c r="M76" s="158"/>
      <c r="N76" s="151"/>
      <c r="O76" s="152"/>
      <c r="P76" s="12"/>
      <c r="Q76" s="12"/>
      <c r="R76" s="12"/>
      <c r="S76" s="12"/>
      <c r="T76" s="12"/>
      <c r="U76" s="12"/>
      <c r="V76" s="12"/>
      <c r="W76" s="12"/>
      <c r="X76" s="12"/>
      <c r="Y76" s="12"/>
      <c r="Z76" s="12"/>
      <c r="AA76" s="12"/>
      <c r="AB76" s="12"/>
      <c r="AC76" s="12"/>
      <c r="AD76" s="12"/>
      <c r="AE76" s="12"/>
      <c r="AF76" s="12"/>
      <c r="AG76" s="12"/>
      <c r="AH76" s="12"/>
    </row>
    <row r="77" spans="1:34" ht="35.25" customHeight="1">
      <c r="A77" s="64"/>
      <c r="B77" s="79" t="str">
        <f ca="1">OFFSET(L!$C$1,MATCH("Declaration"&amp;ADDRESS(ROW(),COLUMN(),4),L!$A:$A,0)-1,SL,,)&amp;$Q$37</f>
        <v>E. Have you implemented due diligence measures for conflict-free sourcing? (*)</v>
      </c>
      <c r="C77" s="80"/>
      <c r="D77" s="338" t="s">
        <v>998</v>
      </c>
      <c r="E77" s="339"/>
      <c r="F77" s="80"/>
      <c r="G77" s="340"/>
      <c r="H77" s="341"/>
      <c r="I77" s="341"/>
      <c r="J77" s="342"/>
      <c r="K77" s="58"/>
      <c r="L77" s="159" t="s">
        <v>2591</v>
      </c>
      <c r="M77" s="158"/>
      <c r="N77" s="151"/>
      <c r="O77" s="152"/>
      <c r="P77" s="12"/>
      <c r="Q77" s="12"/>
      <c r="R77" s="12"/>
      <c r="S77" s="12"/>
      <c r="T77" s="12"/>
      <c r="U77" s="12"/>
      <c r="V77" s="12"/>
      <c r="W77" s="12"/>
      <c r="X77" s="12"/>
      <c r="Y77" s="12"/>
      <c r="Z77" s="12"/>
      <c r="AA77" s="12"/>
      <c r="AB77" s="12"/>
      <c r="AC77" s="12"/>
      <c r="AD77" s="12"/>
      <c r="AE77" s="12"/>
      <c r="AF77" s="12"/>
      <c r="AG77" s="12"/>
      <c r="AH77" s="12"/>
    </row>
    <row r="78" spans="1:34" ht="15.75">
      <c r="A78" s="64"/>
      <c r="B78" s="81"/>
      <c r="C78" s="15"/>
      <c r="D78" s="1"/>
      <c r="E78" s="1"/>
      <c r="F78" s="15"/>
      <c r="G78" s="77"/>
      <c r="H78" s="77"/>
      <c r="I78" s="77"/>
      <c r="J78" s="77"/>
      <c r="K78" s="58"/>
      <c r="L78" s="159"/>
      <c r="M78" s="158"/>
      <c r="N78" s="151"/>
      <c r="O78" s="152"/>
      <c r="P78" s="12"/>
      <c r="Q78" s="12"/>
      <c r="R78" s="12"/>
      <c r="S78" s="12"/>
      <c r="T78" s="12"/>
      <c r="U78" s="12"/>
      <c r="V78" s="12"/>
      <c r="W78" s="12"/>
      <c r="X78" s="12"/>
      <c r="Y78" s="12"/>
      <c r="Z78" s="12"/>
      <c r="AA78" s="12"/>
      <c r="AB78" s="12"/>
      <c r="AC78" s="12"/>
      <c r="AD78" s="12"/>
      <c r="AE78" s="12"/>
      <c r="AF78" s="12"/>
      <c r="AG78" s="12"/>
      <c r="AH78" s="12"/>
    </row>
    <row r="79" spans="1:34" ht="49.5" customHeight="1">
      <c r="A79" s="64"/>
      <c r="B79" s="79"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80"/>
      <c r="D79" s="338" t="s">
        <v>998</v>
      </c>
      <c r="E79" s="339"/>
      <c r="F79" s="80"/>
      <c r="G79" s="340"/>
      <c r="H79" s="341"/>
      <c r="I79" s="341"/>
      <c r="J79" s="342"/>
      <c r="K79" s="58"/>
      <c r="L79" s="159" t="s">
        <v>2591</v>
      </c>
      <c r="M79" s="158"/>
      <c r="N79" s="151"/>
      <c r="O79" s="152"/>
      <c r="P79" s="12"/>
      <c r="Q79" s="12"/>
      <c r="R79" s="12"/>
      <c r="S79" s="12"/>
      <c r="T79" s="12"/>
      <c r="U79" s="12"/>
      <c r="V79" s="12"/>
      <c r="W79" s="12"/>
      <c r="X79" s="12"/>
      <c r="Y79" s="12"/>
      <c r="Z79" s="12"/>
      <c r="AA79" s="12"/>
      <c r="AB79" s="12"/>
      <c r="AC79" s="12"/>
      <c r="AD79" s="12"/>
      <c r="AE79" s="12"/>
      <c r="AF79" s="12"/>
      <c r="AG79" s="12"/>
      <c r="AH79" s="12"/>
    </row>
    <row r="80" spans="1:34" ht="15.75">
      <c r="A80" s="64"/>
      <c r="B80" s="84"/>
      <c r="C80" s="15"/>
      <c r="D80" s="1"/>
      <c r="E80" s="1"/>
      <c r="F80" s="16"/>
      <c r="G80" s="378"/>
      <c r="H80" s="378"/>
      <c r="I80" s="378"/>
      <c r="J80" s="378"/>
      <c r="K80" s="58"/>
      <c r="L80" s="159"/>
      <c r="M80" s="158"/>
      <c r="N80" s="151"/>
      <c r="O80" s="152"/>
      <c r="P80" s="12"/>
      <c r="Q80" s="12"/>
      <c r="R80" s="12"/>
      <c r="S80" s="12"/>
      <c r="T80" s="12"/>
      <c r="U80" s="12"/>
      <c r="V80" s="12"/>
      <c r="W80" s="12"/>
      <c r="X80" s="12"/>
      <c r="Y80" s="12"/>
      <c r="Z80" s="12"/>
      <c r="AA80" s="12"/>
      <c r="AB80" s="12"/>
      <c r="AC80" s="12"/>
      <c r="AD80" s="12"/>
      <c r="AE80" s="12"/>
      <c r="AF80" s="12"/>
      <c r="AG80" s="12"/>
      <c r="AH80" s="12"/>
    </row>
    <row r="81" spans="1:34" ht="30">
      <c r="A81" s="64"/>
      <c r="B81" s="79" t="str">
        <f ca="1">OFFSET(L!$C$1,MATCH("Declaration"&amp;ADDRESS(ROW(),COLUMN(),4),L!$A:$A,0)-1,SL,,)&amp;$Q$37</f>
        <v>G. Do you request smelter names from your suppliers? (*)</v>
      </c>
      <c r="C81" s="80"/>
      <c r="D81" s="338" t="s">
        <v>998</v>
      </c>
      <c r="E81" s="339"/>
      <c r="F81" s="80"/>
      <c r="G81" s="340"/>
      <c r="H81" s="341"/>
      <c r="I81" s="341"/>
      <c r="J81" s="342"/>
      <c r="K81" s="58"/>
      <c r="L81" s="159" t="s">
        <v>2591</v>
      </c>
      <c r="M81" s="158"/>
      <c r="N81" s="151"/>
      <c r="O81" s="152"/>
      <c r="P81" s="12"/>
      <c r="Q81" s="12"/>
      <c r="R81" s="12"/>
      <c r="S81" s="12"/>
      <c r="T81" s="12"/>
      <c r="U81" s="12"/>
      <c r="V81" s="12"/>
      <c r="W81" s="12"/>
      <c r="X81" s="12"/>
      <c r="Y81" s="12"/>
      <c r="Z81" s="12"/>
      <c r="AA81" s="12"/>
      <c r="AB81" s="12"/>
      <c r="AC81" s="12"/>
      <c r="AD81" s="12"/>
      <c r="AE81" s="12"/>
      <c r="AF81" s="12"/>
      <c r="AG81" s="12"/>
      <c r="AH81" s="12"/>
    </row>
    <row r="82" spans="1:34" ht="15.75">
      <c r="A82" s="64"/>
      <c r="B82" s="84"/>
      <c r="C82" s="15"/>
      <c r="D82" s="1"/>
      <c r="E82" s="1"/>
      <c r="F82" s="16"/>
      <c r="G82" s="378"/>
      <c r="H82" s="378"/>
      <c r="I82" s="378"/>
      <c r="J82" s="378"/>
      <c r="K82" s="58"/>
      <c r="L82" s="159"/>
      <c r="M82" s="158"/>
      <c r="N82" s="151"/>
      <c r="O82" s="152"/>
      <c r="P82" s="12"/>
      <c r="Q82" s="12"/>
      <c r="R82" s="12"/>
      <c r="S82" s="12"/>
      <c r="T82" s="12"/>
      <c r="U82" s="12"/>
      <c r="V82" s="12"/>
      <c r="W82" s="12"/>
      <c r="X82" s="12"/>
      <c r="Y82" s="12"/>
      <c r="Z82" s="12"/>
      <c r="AA82" s="12"/>
      <c r="AB82" s="12"/>
      <c r="AC82" s="12"/>
      <c r="AD82" s="12"/>
      <c r="AE82" s="12"/>
      <c r="AF82" s="12"/>
      <c r="AG82" s="12"/>
      <c r="AH82" s="12"/>
    </row>
    <row r="83" spans="1:34" ht="37.15" customHeight="1">
      <c r="A83" s="64"/>
      <c r="B83" s="79" t="str">
        <f ca="1">OFFSET(L!$C$1,MATCH("Declaration"&amp;ADDRESS(ROW(),COLUMN(),4),L!$A:$A,0)-1,SL,,)&amp;$Q$37</f>
        <v>H. Do you review due diligence information received from your suppliers against your company’s expectations? (*)</v>
      </c>
      <c r="C83" s="80"/>
      <c r="D83" s="338" t="s">
        <v>998</v>
      </c>
      <c r="E83" s="339"/>
      <c r="F83" s="80"/>
      <c r="G83" s="340"/>
      <c r="H83" s="341"/>
      <c r="I83" s="341"/>
      <c r="J83" s="342"/>
      <c r="K83" s="58"/>
      <c r="L83" s="159" t="s">
        <v>2589</v>
      </c>
      <c r="M83" s="158"/>
      <c r="N83" s="151"/>
      <c r="O83" s="152"/>
      <c r="P83" s="12"/>
      <c r="Q83" s="12"/>
      <c r="R83" s="12"/>
      <c r="S83" s="12"/>
      <c r="T83" s="12"/>
      <c r="U83" s="12"/>
      <c r="V83" s="12"/>
      <c r="W83" s="12"/>
      <c r="X83" s="12"/>
      <c r="Y83" s="12"/>
      <c r="Z83" s="12"/>
      <c r="AA83" s="12"/>
      <c r="AB83" s="12"/>
      <c r="AC83" s="12"/>
      <c r="AD83" s="12"/>
      <c r="AE83" s="12"/>
      <c r="AF83" s="12"/>
      <c r="AG83" s="12"/>
      <c r="AH83" s="12"/>
    </row>
    <row r="84" spans="1:34" ht="15.75">
      <c r="A84" s="64"/>
      <c r="B84" s="81"/>
      <c r="C84" s="15"/>
      <c r="D84" s="1"/>
      <c r="E84" s="1"/>
      <c r="F84" s="16"/>
      <c r="G84" s="388"/>
      <c r="H84" s="388"/>
      <c r="I84" s="388"/>
      <c r="J84" s="388"/>
      <c r="K84" s="58"/>
      <c r="L84" s="159"/>
      <c r="M84" s="158"/>
      <c r="N84" s="151"/>
      <c r="O84" s="152"/>
      <c r="P84" s="12"/>
      <c r="Q84" s="12"/>
      <c r="R84" s="12"/>
      <c r="S84" s="12"/>
      <c r="T84" s="12"/>
      <c r="U84" s="12"/>
      <c r="V84" s="12"/>
      <c r="W84" s="12"/>
      <c r="X84" s="12"/>
      <c r="Y84" s="12"/>
      <c r="Z84" s="12"/>
      <c r="AA84" s="12"/>
      <c r="AB84" s="12"/>
      <c r="AC84" s="12"/>
      <c r="AD84" s="12"/>
      <c r="AE84" s="12"/>
      <c r="AF84" s="12"/>
      <c r="AG84" s="12"/>
      <c r="AH84" s="12"/>
    </row>
    <row r="85" spans="1:34" ht="30">
      <c r="A85" s="64"/>
      <c r="B85" s="79" t="str">
        <f ca="1">OFFSET(L!$C$1,MATCH("Declaration"&amp;ADDRESS(ROW(),COLUMN(),4),L!$A:$A,0)-1,SL,,)&amp;$Q$37</f>
        <v>I. Does your review process include corrective action management? (*)</v>
      </c>
      <c r="C85" s="80"/>
      <c r="D85" s="338" t="s">
        <v>999</v>
      </c>
      <c r="E85" s="339"/>
      <c r="F85" s="80"/>
      <c r="G85" s="340"/>
      <c r="H85" s="341"/>
      <c r="I85" s="341"/>
      <c r="J85" s="342"/>
      <c r="K85" s="58"/>
      <c r="L85" s="159" t="s">
        <v>2591</v>
      </c>
      <c r="M85" s="158"/>
      <c r="N85" s="151"/>
      <c r="O85" s="152"/>
      <c r="P85" s="12"/>
      <c r="Q85" s="12"/>
      <c r="R85" s="12"/>
      <c r="S85" s="12"/>
      <c r="T85" s="12"/>
      <c r="U85" s="12"/>
      <c r="V85" s="12"/>
      <c r="W85" s="12"/>
      <c r="X85" s="12"/>
      <c r="Y85" s="12"/>
      <c r="Z85" s="12"/>
      <c r="AA85" s="12"/>
      <c r="AB85" s="12"/>
      <c r="AC85" s="12"/>
      <c r="AD85" s="12"/>
      <c r="AE85" s="12"/>
      <c r="AF85" s="12"/>
      <c r="AG85" s="12"/>
      <c r="AH85" s="12"/>
    </row>
    <row r="86" spans="1:34" ht="15">
      <c r="A86" s="64"/>
      <c r="B86" s="85"/>
      <c r="C86" s="13"/>
      <c r="D86" s="86"/>
      <c r="E86" s="86"/>
      <c r="F86" s="13"/>
      <c r="G86" s="87"/>
      <c r="H86" s="87"/>
      <c r="I86" s="87"/>
      <c r="J86" s="87"/>
      <c r="K86" s="58"/>
      <c r="L86" s="159"/>
      <c r="M86" s="158"/>
      <c r="N86" s="151"/>
      <c r="O86" s="152"/>
      <c r="P86" s="12"/>
      <c r="Q86" s="12"/>
      <c r="R86" s="12"/>
      <c r="S86" s="12"/>
      <c r="T86" s="12"/>
      <c r="U86" s="12"/>
      <c r="V86" s="12"/>
      <c r="W86" s="12"/>
      <c r="X86" s="12"/>
      <c r="Y86" s="12"/>
      <c r="Z86" s="12"/>
      <c r="AA86" s="12"/>
      <c r="AB86" s="12"/>
      <c r="AC86" s="12"/>
      <c r="AD86" s="12"/>
      <c r="AE86" s="12"/>
      <c r="AF86" s="12"/>
      <c r="AG86" s="12"/>
      <c r="AH86" s="12"/>
    </row>
    <row r="87" spans="1:34" ht="30">
      <c r="A87" s="64"/>
      <c r="B87" s="79" t="str">
        <f ca="1">OFFSET(L!$C$1,MATCH("Declaration"&amp;ADDRESS(ROW(),COLUMN(),4),L!$A:$A,0)-1,SL,,)&amp;$Q$37</f>
        <v>J. Are you subject to the SEC Conflict Minerals rule? (*)</v>
      </c>
      <c r="C87" s="80"/>
      <c r="D87" s="338" t="s">
        <v>999</v>
      </c>
      <c r="E87" s="339"/>
      <c r="F87" s="80"/>
      <c r="G87" s="340"/>
      <c r="H87" s="341"/>
      <c r="I87" s="341"/>
      <c r="J87" s="342"/>
      <c r="K87" s="58"/>
      <c r="L87" s="160" t="s">
        <v>2591</v>
      </c>
      <c r="M87" s="151"/>
      <c r="N87" s="151"/>
      <c r="O87" s="152"/>
      <c r="P87" s="12"/>
      <c r="Q87" s="12"/>
      <c r="R87" s="12"/>
      <c r="S87" s="12"/>
      <c r="T87" s="12"/>
      <c r="U87" s="12"/>
      <c r="V87" s="12"/>
      <c r="W87" s="12"/>
      <c r="X87" s="12"/>
      <c r="Y87" s="12"/>
      <c r="Z87" s="12"/>
      <c r="AA87" s="12"/>
      <c r="AB87" s="12"/>
      <c r="AC87" s="12"/>
      <c r="AD87" s="12"/>
      <c r="AE87" s="12"/>
      <c r="AF87" s="12"/>
      <c r="AG87" s="12"/>
      <c r="AH87" s="12"/>
    </row>
    <row r="88" spans="1:34" ht="15">
      <c r="A88" s="64"/>
      <c r="B88" s="389" t="str">
        <f ca="1">IF(OR($D$8="",$I$3=""),"","Click here to check required fields completion")</f>
        <v/>
      </c>
      <c r="C88" s="389"/>
      <c r="D88" s="389"/>
      <c r="E88" s="389"/>
      <c r="F88" s="389"/>
      <c r="G88" s="389"/>
      <c r="H88" s="389"/>
      <c r="I88" s="389"/>
      <c r="J88" s="389"/>
      <c r="K88" s="58"/>
      <c r="L88" s="160"/>
      <c r="M88" s="151"/>
      <c r="N88" s="151"/>
      <c r="O88" s="152"/>
      <c r="P88" s="12"/>
      <c r="Q88" s="12"/>
      <c r="R88" s="12"/>
      <c r="S88" s="12"/>
      <c r="T88" s="12"/>
      <c r="U88" s="12"/>
      <c r="V88" s="12"/>
      <c r="W88" s="12"/>
      <c r="X88" s="12"/>
      <c r="Y88" s="12"/>
      <c r="Z88" s="12"/>
      <c r="AA88" s="12"/>
      <c r="AB88" s="12"/>
      <c r="AC88" s="12"/>
      <c r="AD88" s="12"/>
      <c r="AE88" s="12"/>
      <c r="AF88" s="12"/>
      <c r="AG88" s="12"/>
      <c r="AH88" s="12"/>
    </row>
    <row r="89" spans="1:34" ht="15.75" thickBot="1">
      <c r="A89" s="386" t="str">
        <f ca="1">OFFSET(L!$C$1,MATCH("General"&amp;"Cpy",L!$A:$A,0)-1,SL,,)</f>
        <v>© 2015 Conflict-Free Sourcing Initiative. All rights reserved.</v>
      </c>
      <c r="B89" s="387"/>
      <c r="C89" s="387"/>
      <c r="D89" s="387"/>
      <c r="E89" s="387"/>
      <c r="F89" s="387"/>
      <c r="G89" s="387"/>
      <c r="H89" s="387"/>
      <c r="I89" s="387"/>
      <c r="J89" s="387"/>
      <c r="K89" s="88"/>
      <c r="L89" s="160"/>
      <c r="M89" s="151"/>
      <c r="N89" s="151"/>
      <c r="O89" s="152"/>
      <c r="P89" s="12"/>
      <c r="Q89" s="12"/>
      <c r="R89" s="12"/>
      <c r="S89" s="12"/>
      <c r="T89" s="12"/>
      <c r="U89" s="12"/>
      <c r="V89" s="12"/>
      <c r="W89" s="12"/>
      <c r="X89" s="12"/>
      <c r="Y89" s="12"/>
      <c r="Z89" s="12"/>
      <c r="AA89" s="12"/>
      <c r="AB89" s="12"/>
      <c r="AC89" s="12"/>
      <c r="AD89" s="12"/>
      <c r="AE89" s="12"/>
      <c r="AF89" s="12"/>
      <c r="AG89" s="12"/>
      <c r="AH89" s="12"/>
    </row>
    <row r="90" spans="1:34" ht="15.75" thickTop="1">
      <c r="A90" s="151"/>
      <c r="B90" s="134"/>
      <c r="L90" s="150"/>
      <c r="M90" s="151"/>
      <c r="N90" s="151"/>
      <c r="O90" s="152"/>
      <c r="P90" s="12"/>
      <c r="Q90" s="12"/>
      <c r="R90" s="12"/>
      <c r="S90" s="12"/>
      <c r="T90" s="12"/>
      <c r="U90" s="12"/>
      <c r="V90" s="12"/>
      <c r="W90" s="12"/>
      <c r="X90" s="12"/>
      <c r="Y90" s="12"/>
      <c r="Z90" s="12"/>
      <c r="AA90" s="12"/>
      <c r="AB90" s="12"/>
      <c r="AC90" s="12"/>
      <c r="AD90" s="12"/>
      <c r="AE90" s="12"/>
      <c r="AF90" s="12"/>
      <c r="AG90" s="12"/>
      <c r="AH90" s="12"/>
    </row>
    <row r="91" spans="1:34">
      <c r="A91" s="134"/>
      <c r="B91" s="134"/>
    </row>
    <row r="93" spans="1:34" hidden="1"/>
    <row r="94" spans="1:34" hidden="1">
      <c r="D94" s="167" t="s">
        <v>998</v>
      </c>
    </row>
    <row r="95" spans="1:34" hidden="1">
      <c r="D95" s="167" t="s">
        <v>999</v>
      </c>
    </row>
    <row r="96" spans="1:34" hidden="1">
      <c r="D96" s="167" t="s">
        <v>1000</v>
      </c>
    </row>
    <row r="97" spans="4:4" hidden="1">
      <c r="D97" s="167" t="s">
        <v>1001</v>
      </c>
    </row>
    <row r="98" spans="4:4" hidden="1">
      <c r="D98" s="167" t="s">
        <v>1002</v>
      </c>
    </row>
    <row r="99" spans="4:4" hidden="1">
      <c r="D99" s="167" t="s">
        <v>1003</v>
      </c>
    </row>
    <row r="100" spans="4:4" hidden="1">
      <c r="D100" s="167" t="s">
        <v>1004</v>
      </c>
    </row>
    <row r="101" spans="4:4" hidden="1">
      <c r="D101" s="167" t="s">
        <v>1006</v>
      </c>
    </row>
    <row r="102" spans="4:4" hidden="1">
      <c r="D102" s="167" t="s">
        <v>1005</v>
      </c>
    </row>
    <row r="103" spans="4:4" hidden="1"/>
  </sheetData>
  <sheetProtection password="E81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H61:J61"/>
    <mergeCell ref="G56:J56"/>
    <mergeCell ref="D59:E59"/>
    <mergeCell ref="D58:E58"/>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D15:J15"/>
    <mergeCell ref="D17:J17"/>
    <mergeCell ref="D16:J16"/>
    <mergeCell ref="D20:J20"/>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G27:J27"/>
    <mergeCell ref="D21:J21"/>
    <mergeCell ref="D26:E26"/>
    <mergeCell ref="D27:E27"/>
    <mergeCell ref="D22:E22"/>
    <mergeCell ref="B24:J24"/>
    <mergeCell ref="G38:J38"/>
    <mergeCell ref="D38:E38"/>
    <mergeCell ref="D34:E34"/>
    <mergeCell ref="D33:E33"/>
    <mergeCell ref="G34:J34"/>
    <mergeCell ref="D31:E31"/>
    <mergeCell ref="D25:E25"/>
    <mergeCell ref="D37:E37"/>
    <mergeCell ref="D49:E49"/>
    <mergeCell ref="D55:E55"/>
    <mergeCell ref="D32:E32"/>
    <mergeCell ref="D46:E46"/>
    <mergeCell ref="D35:E35"/>
    <mergeCell ref="D39:E39"/>
    <mergeCell ref="D45:E45"/>
    <mergeCell ref="G45:J45"/>
    <mergeCell ref="G40:J40"/>
    <mergeCell ref="D44:E44"/>
    <mergeCell ref="G33:J33"/>
    <mergeCell ref="D43:E43"/>
  </mergeCells>
  <phoneticPr fontId="4" type="noConversion"/>
  <conditionalFormatting sqref="D69:E69 D71:E71 D73:E73 D75:E75 D87:E87 D79:E79 D81:E81 D83:E83 D85:E85 D77">
    <cfRule type="expression" dxfId="97" priority="38" stopIfTrue="1">
      <formula>AND($D$26="No",$D$27="No",$D$28="No",$D$29="No")</formula>
    </cfRule>
    <cfRule type="expression" dxfId="96" priority="39" stopIfTrue="1">
      <formula>IF(D69="",TRUE)</formula>
    </cfRule>
  </conditionalFormatting>
  <conditionalFormatting sqref="G71:J71">
    <cfRule type="expression" dxfId="95" priority="10" stopIfTrue="1">
      <formula>IF(AND($D$71="Yes",$G$71=""),TRUE)</formula>
    </cfRule>
  </conditionalFormatting>
  <conditionalFormatting sqref="D26:E26">
    <cfRule type="expression" dxfId="94" priority="90" stopIfTrue="1">
      <formula>IF($D$26="",TRUE)</formula>
    </cfRule>
  </conditionalFormatting>
  <conditionalFormatting sqref="D38:E38 D44:E44 D56:E56 D62:E62">
    <cfRule type="expression" dxfId="93" priority="95" stopIfTrue="1">
      <formula>$P$38=""</formula>
    </cfRule>
    <cfRule type="expression" dxfId="92" priority="96" stopIfTrue="1">
      <formula>D38=""</formula>
    </cfRule>
  </conditionalFormatting>
  <conditionalFormatting sqref="D27:E27">
    <cfRule type="expression" dxfId="91" priority="97" stopIfTrue="1">
      <formula>IF($D$27="",TRUE)</formula>
    </cfRule>
  </conditionalFormatting>
  <conditionalFormatting sqref="D28:E28">
    <cfRule type="expression" dxfId="90" priority="98" stopIfTrue="1">
      <formula>IF($D$28="",TRUE)</formula>
    </cfRule>
  </conditionalFormatting>
  <conditionalFormatting sqref="D29:E29">
    <cfRule type="expression" dxfId="89" priority="99" stopIfTrue="1">
      <formula>IF($D$29="",TRUE)</formula>
    </cfRule>
  </conditionalFormatting>
  <conditionalFormatting sqref="D32:E32">
    <cfRule type="expression" dxfId="88" priority="100" stopIfTrue="1">
      <formula>IF($D$32="",TRUE)</formula>
    </cfRule>
  </conditionalFormatting>
  <conditionalFormatting sqref="D33:E33">
    <cfRule type="expression" dxfId="87" priority="101" stopIfTrue="1">
      <formula>IF($D$33="",TRUE)</formula>
    </cfRule>
  </conditionalFormatting>
  <conditionalFormatting sqref="D34:E34">
    <cfRule type="expression" dxfId="86" priority="102" stopIfTrue="1">
      <formula>IF($D$34="",TRUE)</formula>
    </cfRule>
  </conditionalFormatting>
  <conditionalFormatting sqref="D35:E35">
    <cfRule type="expression" dxfId="85" priority="103" stopIfTrue="1">
      <formula>IF($D$35="",TRUE)</formula>
    </cfRule>
  </conditionalFormatting>
  <conditionalFormatting sqref="D8:J8">
    <cfRule type="expression" dxfId="84" priority="104" stopIfTrue="1">
      <formula>IF($D$8="",TRUE)</formula>
    </cfRule>
  </conditionalFormatting>
  <conditionalFormatting sqref="D9:G9">
    <cfRule type="expression" dxfId="83" priority="105" stopIfTrue="1">
      <formula>IF($D$9="",TRUE)</formula>
    </cfRule>
  </conditionalFormatting>
  <conditionalFormatting sqref="D15:J15">
    <cfRule type="expression" dxfId="82" priority="106" stopIfTrue="1">
      <formula>IF($D$15="",TRUE)</formula>
    </cfRule>
  </conditionalFormatting>
  <conditionalFormatting sqref="D16:J16">
    <cfRule type="expression" dxfId="81" priority="107" stopIfTrue="1">
      <formula>IF($D$16="",TRUE)</formula>
    </cfRule>
  </conditionalFormatting>
  <conditionalFormatting sqref="D17:J17">
    <cfRule type="expression" dxfId="80" priority="108" stopIfTrue="1">
      <formula>IF($D$17="",TRUE)</formula>
    </cfRule>
  </conditionalFormatting>
  <conditionalFormatting sqref="D18:J18">
    <cfRule type="expression" dxfId="79" priority="109" stopIfTrue="1">
      <formula>IF($D$18="",TRUE)</formula>
    </cfRule>
  </conditionalFormatting>
  <conditionalFormatting sqref="D20:J20">
    <cfRule type="expression" dxfId="78" priority="110" stopIfTrue="1">
      <formula>IF($D$20="",TRUE)</formula>
    </cfRule>
  </conditionalFormatting>
  <conditionalFormatting sqref="D21:J21">
    <cfRule type="expression" dxfId="77" priority="111" stopIfTrue="1">
      <formula>IF($D$21="",TRUE)</formula>
    </cfRule>
  </conditionalFormatting>
  <conditionalFormatting sqref="D22:E22">
    <cfRule type="expression" dxfId="76" priority="112" stopIfTrue="1">
      <formula>IF($D$22="",TRUE)</formula>
    </cfRule>
  </conditionalFormatting>
  <conditionalFormatting sqref="D39:E39 D45:E45 D57:E57 D63:E63">
    <cfRule type="expression" dxfId="75" priority="113" stopIfTrue="1">
      <formula>$P$39=""</formula>
    </cfRule>
    <cfRule type="expression" dxfId="74" priority="114" stopIfTrue="1">
      <formula>D39=""</formula>
    </cfRule>
  </conditionalFormatting>
  <conditionalFormatting sqref="D40:E40 D46:E46 D58:E58 D64:E64">
    <cfRule type="expression" dxfId="73" priority="115" stopIfTrue="1">
      <formula>$P$40=""</formula>
    </cfRule>
    <cfRule type="expression" dxfId="72" priority="116" stopIfTrue="1">
      <formula>D40=""</formula>
    </cfRule>
  </conditionalFormatting>
  <conditionalFormatting sqref="D41:E41 D47:E47 D59:E59 D65:E65">
    <cfRule type="expression" dxfId="71" priority="117" stopIfTrue="1">
      <formula>$P$41=""</formula>
    </cfRule>
    <cfRule type="expression" dxfId="70" priority="118" stopIfTrue="1">
      <formula>D41=""</formula>
    </cfRule>
  </conditionalFormatting>
  <conditionalFormatting sqref="D10:J10">
    <cfRule type="expression" dxfId="69" priority="9" stopIfTrue="1">
      <formula>IF($D$9=$Q$9,TRUE)</formula>
    </cfRule>
    <cfRule type="expression" dxfId="68" priority="119" stopIfTrue="1">
      <formula>IF(AND($D$10="",$D$9=$R$9),TRUE)</formula>
    </cfRule>
  </conditionalFormatting>
  <conditionalFormatting sqref="D50:E50">
    <cfRule type="expression" dxfId="67" priority="1" stopIfTrue="1">
      <formula>$P$38=""</formula>
    </cfRule>
    <cfRule type="expression" dxfId="66" priority="2" stopIfTrue="1">
      <formula>D50=""</formula>
    </cfRule>
  </conditionalFormatting>
  <conditionalFormatting sqref="D51:E51">
    <cfRule type="expression" dxfId="65" priority="3" stopIfTrue="1">
      <formula>$P$39=""</formula>
    </cfRule>
    <cfRule type="expression" dxfId="64" priority="4" stopIfTrue="1">
      <formula>D51=""</formula>
    </cfRule>
  </conditionalFormatting>
  <conditionalFormatting sqref="D52:E52">
    <cfRule type="expression" dxfId="63" priority="5" stopIfTrue="1">
      <formula>$P$40=""</formula>
    </cfRule>
    <cfRule type="expression" dxfId="62" priority="6" stopIfTrue="1">
      <formula>D52=""</formula>
    </cfRule>
  </conditionalFormatting>
  <conditionalFormatting sqref="D53:E53">
    <cfRule type="expression" dxfId="61" priority="7" stopIfTrue="1">
      <formula>$P$41=""</formula>
    </cfRule>
    <cfRule type="expression" dxfId="60" priority="8" stopIfTrue="1">
      <formula>D53=""</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W2428"/>
  <sheetViews>
    <sheetView showGridLines="0" showZeros="0" tabSelected="1" zoomScale="90" zoomScaleNormal="90" workbookViewId="0">
      <pane ySplit="4" topLeftCell="A572" activePane="bottomLeft" state="frozen"/>
      <selection pane="bottomLeft" activeCell="A2251" sqref="A2251:XFD2258"/>
    </sheetView>
  </sheetViews>
  <sheetFormatPr defaultColWidth="8.75" defaultRowHeight="12.75"/>
  <cols>
    <col min="1" max="1" width="2.5" style="240" customWidth="1"/>
    <col min="2" max="2" width="13.375" style="240" customWidth="1"/>
    <col min="3" max="4" width="40.5" style="240" customWidth="1"/>
    <col min="5" max="5" width="25.75" style="240" customWidth="1"/>
    <col min="6" max="6" width="14.625" style="240" customWidth="1"/>
    <col min="7" max="7" width="15.625" style="240" customWidth="1"/>
    <col min="8" max="8" width="25.125" style="240" customWidth="1"/>
    <col min="9" max="9" width="24.25" style="240" customWidth="1"/>
    <col min="10" max="10" width="18.375" style="240" customWidth="1"/>
    <col min="11" max="11" width="27.375" style="240" customWidth="1"/>
    <col min="12" max="12" width="20.625" style="240" customWidth="1"/>
    <col min="13" max="13" width="35.125" style="240" customWidth="1"/>
    <col min="14" max="14" width="42.125" style="240" customWidth="1"/>
    <col min="15" max="15" width="32.125" style="240" customWidth="1"/>
    <col min="16" max="16" width="22.875" style="240" customWidth="1"/>
    <col min="17" max="17" width="43.5" style="240" customWidth="1"/>
    <col min="18" max="18" width="8.75" style="151"/>
    <col min="19" max="19" width="6.125" style="151" hidden="1" customWidth="1"/>
    <col min="20" max="20" width="8.625" style="151" hidden="1" customWidth="1"/>
    <col min="21" max="21" width="8.75" style="151" hidden="1" customWidth="1"/>
    <col min="22" max="23" width="4.375" style="151" hidden="1" customWidth="1"/>
    <col min="24" max="31" width="4.375" style="240" customWidth="1"/>
    <col min="32" max="16384" width="8.75" style="240"/>
  </cols>
  <sheetData>
    <row r="1" spans="1:23" s="22" customFormat="1" ht="13.5" thickTop="1">
      <c r="A1" s="279"/>
      <c r="B1" s="270"/>
      <c r="C1" s="270"/>
      <c r="D1" s="270"/>
      <c r="E1" s="270"/>
      <c r="F1" s="270"/>
      <c r="G1" s="270"/>
      <c r="H1" s="270"/>
      <c r="I1" s="270"/>
      <c r="J1" s="270"/>
      <c r="K1" s="270"/>
      <c r="L1" s="270"/>
      <c r="M1" s="270"/>
      <c r="N1" s="270"/>
      <c r="O1" s="270"/>
      <c r="P1" s="270"/>
      <c r="Q1" s="271"/>
      <c r="R1" s="280"/>
      <c r="S1" s="281"/>
      <c r="T1" s="282"/>
      <c r="U1" s="280"/>
      <c r="V1" s="280"/>
      <c r="W1" s="280"/>
    </row>
    <row r="2" spans="1:23" s="22" customFormat="1" ht="75" customHeight="1">
      <c r="A2" s="283"/>
      <c r="B2" s="392" t="str">
        <f ca="1">OFFSET(L!$C$1,MATCH("Smelter List"&amp;ADDRESS(ROW(),COLUMN(),4),L!$A:$A,0)-1,SL,,)</f>
        <v>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v>
      </c>
      <c r="C2" s="392"/>
      <c r="D2" s="392"/>
      <c r="E2" s="122"/>
      <c r="F2" s="122"/>
      <c r="G2" s="122"/>
      <c r="H2" s="122"/>
      <c r="I2" s="123"/>
      <c r="J2" s="390" t="str">
        <f ca="1">OFFSET(L!$C$1,MATCH("Smelter List"&amp;ADDRESS(ROW(),COLUMN(),4),L!$A:$A,0)-1,SL,,)</f>
        <v>Link to "CFSP Compliant Smelter List"</v>
      </c>
      <c r="K2" s="391"/>
      <c r="L2" s="391"/>
      <c r="M2" s="391"/>
      <c r="N2" s="391"/>
      <c r="O2" s="391"/>
      <c r="P2" s="180"/>
      <c r="Q2" s="169"/>
      <c r="R2" s="280"/>
      <c r="S2" s="280"/>
      <c r="T2" s="281"/>
      <c r="U2" s="280"/>
      <c r="V2" s="280"/>
      <c r="W2" s="280"/>
    </row>
    <row r="3" spans="1:23" s="22" customFormat="1" ht="102" customHeight="1">
      <c r="A3" s="284"/>
      <c r="B3" s="393"/>
      <c r="C3" s="393"/>
      <c r="D3" s="393"/>
      <c r="E3" s="189" t="str">
        <f ca="1">OFFSET(L!$C$1,MATCH("General"&amp;"Cpy",L!$A:$A,0)-1,SL,,)</f>
        <v>© 2015 Conflict-Free Sourcing Initiative. All rights reserved.</v>
      </c>
      <c r="F3" s="124"/>
      <c r="G3" s="124"/>
      <c r="H3" s="124"/>
      <c r="I3" s="125"/>
      <c r="J3" s="181"/>
      <c r="K3" s="182"/>
      <c r="L3" s="170"/>
      <c r="M3" s="183"/>
      <c r="N3" s="183"/>
      <c r="O3" s="133"/>
      <c r="P3" s="133"/>
      <c r="Q3" s="200" t="s">
        <v>4602</v>
      </c>
      <c r="R3" s="280"/>
      <c r="S3" s="280"/>
      <c r="T3" s="285" t="s">
        <v>2438</v>
      </c>
      <c r="U3" s="285" t="s">
        <v>2437</v>
      </c>
      <c r="V3" s="285" t="s">
        <v>2439</v>
      </c>
      <c r="W3" s="285" t="s">
        <v>2436</v>
      </c>
    </row>
    <row r="4" spans="1:23" s="288" customFormat="1" ht="76.150000000000006" customHeight="1">
      <c r="A4" s="232"/>
      <c r="B4" s="232" t="str">
        <f ca="1">OFFSET(L!$C$1,MATCH("Smelter List"&amp;ADDRESS(ROW(),COLUMN(),4),L!$A:$A,0)-1,SL,,)</f>
        <v>Metal (*)</v>
      </c>
      <c r="C4" s="232" t="str">
        <f ca="1">OFFSET(L!$C$1,MATCH("Smelter List"&amp;ADDRESS(ROW(),COLUMN(),4),L!$A:$A,0)-1,SL,,)</f>
        <v>Smelter Reference List (*)</v>
      </c>
      <c r="D4" s="232" t="str">
        <f ca="1">OFFSET(L!$C$1,MATCH("Smelter List"&amp;ADDRESS(ROW(),COLUMN(),4),L!$A:$A,0)-1,SL,,)</f>
        <v>Smelter Name (*)</v>
      </c>
      <c r="E4" s="232" t="str">
        <f ca="1">OFFSET(L!$C$1,MATCH("Smelter List"&amp;ADDRESS(ROW(),COLUMN(),4),L!$A:$A,0)-1,SL,,)</f>
        <v>Smelter Country (*)</v>
      </c>
      <c r="F4" s="232" t="str">
        <f ca="1">OFFSET(L!$C$1,MATCH("Smelter List"&amp;ADDRESS(ROW(),COLUMN(),4),L!$A:$A,0)-1,SL,,)</f>
        <v>Smelter Identification</v>
      </c>
      <c r="G4" s="232" t="str">
        <f ca="1">OFFSET(L!$C$1,MATCH("Smelter List"&amp;ADDRESS(ROW(),COLUMN(),4),L!$A:$A,0)-1,SL,,)</f>
        <v>Source of Smelter Identification Number</v>
      </c>
      <c r="H4" s="235" t="str">
        <f ca="1">OFFSET(L!$C$1,MATCH("Smelter List"&amp;ADDRESS(ROW(),COLUMN(),4),L!$A:$A,0)-1,SL,,)</f>
        <v xml:space="preserve">Smelter Street </v>
      </c>
      <c r="I4" s="235" t="str">
        <f ca="1">OFFSET(L!$C$1,MATCH("Smelter List"&amp;ADDRESS(ROW(),COLUMN(),4),L!$A:$A,0)-1,SL,,)</f>
        <v>Smelter City</v>
      </c>
      <c r="J4" s="235" t="str">
        <f ca="1">OFFSET(L!$C$1,MATCH("Smelter List"&amp;ADDRESS(ROW(),COLUMN(),4),L!$A:$A,0)-1,SL,,)</f>
        <v>Smelter Facility Location: State / Province</v>
      </c>
      <c r="K4" s="235" t="str">
        <f ca="1">OFFSET(L!$C$1,MATCH("Smelter List"&amp;ADDRESS(ROW(),COLUMN(),4),L!$A:$A,0)-1,SL,,)</f>
        <v>Smelter Contact Name</v>
      </c>
      <c r="L4" s="235" t="str">
        <f ca="1">OFFSET(L!$C$1,MATCH("Smelter List"&amp;ADDRESS(ROW(),COLUMN(),4),L!$A:$A,0)-1,SL,,)</f>
        <v>Smelter Contact Email</v>
      </c>
      <c r="M4" s="235" t="str">
        <f ca="1">OFFSET(L!$C$1,MATCH("Smelter List"&amp;ADDRESS(ROW(),COLUMN(),4),L!$A:$A,0)-1,SL,,)</f>
        <v>Proposed next steps</v>
      </c>
      <c r="N4" s="235" t="str">
        <f ca="1">OFFSET(L!$C$1,MATCH("Smelter List"&amp;ADDRESS(ROW(),COLUMN(),4),L!$A:$A,0)-1,SL,,)</f>
        <v>Name of Mine(s) or if recycled or scrap sourced, enter "recycled" or "scrap"</v>
      </c>
      <c r="O4" s="235" t="str">
        <f ca="1">OFFSET(L!$C$1,MATCH("Smelter List"&amp;ADDRESS(ROW(),COLUMN(),4),L!$A:$A,0)-1,SL,,)</f>
        <v>Location (Country) of Mine(s) or if recycled or scrap sourced, enter "recycled" or "scrap"</v>
      </c>
      <c r="P4" s="235" t="str">
        <f ca="1">OFFSET(L!$C$1,MATCH("Smelter List"&amp;ADDRESS(ROW(),COLUMN(),4),L!$A:$A,0)-1,SL,,)</f>
        <v>Does 100% of the smelter’s feedstock originate from recycled or scrap sources?</v>
      </c>
      <c r="Q4" s="236" t="str">
        <f ca="1">OFFSET(L!$C$1,MATCH("Smelter List"&amp;ADDRESS(ROW(),COLUMN(),4),L!$A:$A,0)-1,SL,,)</f>
        <v>Comments</v>
      </c>
      <c r="R4" s="286"/>
      <c r="S4" s="287"/>
      <c r="T4" s="287" t="s">
        <v>2694</v>
      </c>
      <c r="U4" s="287" t="s">
        <v>1941</v>
      </c>
      <c r="V4" s="287"/>
      <c r="W4" s="287"/>
    </row>
    <row r="5" spans="1:23" s="269" customFormat="1" ht="20.25">
      <c r="A5" s="266"/>
      <c r="B5" s="275" t="s">
        <v>2436</v>
      </c>
      <c r="C5" s="275" t="s">
        <v>42</v>
      </c>
      <c r="D5" s="168" t="s">
        <v>4622</v>
      </c>
      <c r="E5" s="168" t="s">
        <v>1867</v>
      </c>
      <c r="F5" s="168" t="s">
        <v>1415</v>
      </c>
      <c r="G5" s="168" t="s">
        <v>4623</v>
      </c>
      <c r="H5" s="292" t="s">
        <v>4624</v>
      </c>
      <c r="I5" s="293" t="s">
        <v>3437</v>
      </c>
      <c r="J5" s="293" t="s">
        <v>4625</v>
      </c>
      <c r="K5" s="290" t="s">
        <v>4626</v>
      </c>
      <c r="L5" s="290" t="s">
        <v>4627</v>
      </c>
      <c r="M5" s="290" t="s">
        <v>4628</v>
      </c>
      <c r="N5" s="290" t="s">
        <v>4628</v>
      </c>
      <c r="O5" s="290" t="s">
        <v>4623</v>
      </c>
      <c r="P5" s="290" t="s">
        <v>999</v>
      </c>
      <c r="Q5" s="291" t="s">
        <v>4623</v>
      </c>
      <c r="R5" s="276"/>
      <c r="S5" s="277">
        <f>IF(OR(C5="",C5=T$4),NA(),MATCH($B5&amp;$C5,'Smelter Reference List'!$J:$J,0))</f>
        <v>5</v>
      </c>
      <c r="T5" s="278"/>
      <c r="U5" s="278"/>
      <c r="V5" s="278"/>
      <c r="W5" s="278"/>
    </row>
    <row r="6" spans="1:23" s="269" customFormat="1" ht="20.25">
      <c r="A6" s="267"/>
      <c r="B6" s="275" t="s">
        <v>2436</v>
      </c>
      <c r="C6" s="275" t="s">
        <v>2819</v>
      </c>
      <c r="D6" s="168" t="s">
        <v>2819</v>
      </c>
      <c r="E6" s="168" t="s">
        <v>1867</v>
      </c>
      <c r="F6" s="168" t="s">
        <v>2820</v>
      </c>
      <c r="G6" s="168" t="s">
        <v>3324</v>
      </c>
      <c r="H6" s="292" t="s">
        <v>4623</v>
      </c>
      <c r="I6" s="293" t="s">
        <v>4623</v>
      </c>
      <c r="J6" s="293" t="s">
        <v>4623</v>
      </c>
      <c r="K6" s="290" t="s">
        <v>4623</v>
      </c>
      <c r="L6" s="290" t="s">
        <v>4623</v>
      </c>
      <c r="M6" s="290" t="s">
        <v>4623</v>
      </c>
      <c r="N6" s="290" t="s">
        <v>4623</v>
      </c>
      <c r="O6" s="290" t="s">
        <v>4623</v>
      </c>
      <c r="P6" s="290" t="s">
        <v>999</v>
      </c>
      <c r="Q6" s="291" t="s">
        <v>4623</v>
      </c>
      <c r="R6" s="276"/>
      <c r="S6" s="277">
        <f>IF(OR(C6="",C6=T$4),NA(),MATCH($B6&amp;$C6,'Smelter Reference List'!$J:$J,0))</f>
        <v>6</v>
      </c>
      <c r="T6" s="278"/>
      <c r="U6" s="278"/>
      <c r="V6" s="278"/>
      <c r="W6" s="278"/>
    </row>
    <row r="7" spans="1:23" s="269" customFormat="1" ht="20.25">
      <c r="A7" s="267"/>
      <c r="B7" s="275" t="s">
        <v>2436</v>
      </c>
      <c r="C7" s="275" t="s">
        <v>3530</v>
      </c>
      <c r="D7" s="168" t="s">
        <v>4629</v>
      </c>
      <c r="E7" s="168" t="s">
        <v>2267</v>
      </c>
      <c r="F7" s="168" t="s">
        <v>1429</v>
      </c>
      <c r="G7" s="168" t="s">
        <v>3324</v>
      </c>
      <c r="H7" s="292" t="s">
        <v>4623</v>
      </c>
      <c r="I7" s="293" t="s">
        <v>4623</v>
      </c>
      <c r="J7" s="293" t="s">
        <v>4623</v>
      </c>
      <c r="K7" s="290" t="s">
        <v>4623</v>
      </c>
      <c r="L7" s="290" t="s">
        <v>4623</v>
      </c>
      <c r="M7" s="290" t="s">
        <v>4623</v>
      </c>
      <c r="N7" s="290" t="s">
        <v>4623</v>
      </c>
      <c r="O7" s="290" t="s">
        <v>4623</v>
      </c>
      <c r="P7" s="290" t="s">
        <v>999</v>
      </c>
      <c r="Q7" s="291" t="s">
        <v>4623</v>
      </c>
      <c r="R7" s="276"/>
      <c r="S7" s="277">
        <f>IF(OR(C7="",C7=T$4),NA(),MATCH($B7&amp;$C7,'Smelter Reference List'!$J:$J,0))</f>
        <v>7</v>
      </c>
      <c r="T7" s="278"/>
      <c r="U7" s="278"/>
      <c r="V7" s="278"/>
      <c r="W7" s="278"/>
    </row>
    <row r="8" spans="1:23" s="269" customFormat="1" ht="20.25">
      <c r="A8" s="267"/>
      <c r="B8" s="275" t="s">
        <v>2436</v>
      </c>
      <c r="C8" s="275" t="s">
        <v>4394</v>
      </c>
      <c r="D8" s="168" t="s">
        <v>4394</v>
      </c>
      <c r="E8" s="168" t="s">
        <v>2362</v>
      </c>
      <c r="F8" s="168" t="s">
        <v>1328</v>
      </c>
      <c r="G8" s="168" t="s">
        <v>3324</v>
      </c>
      <c r="H8" s="292" t="s">
        <v>4630</v>
      </c>
      <c r="I8" s="293" t="s">
        <v>4623</v>
      </c>
      <c r="J8" s="293" t="s">
        <v>4631</v>
      </c>
      <c r="K8" s="290" t="s">
        <v>4632</v>
      </c>
      <c r="L8" s="290" t="s">
        <v>4623</v>
      </c>
      <c r="M8" s="290" t="s">
        <v>4623</v>
      </c>
      <c r="N8" s="290" t="s">
        <v>4623</v>
      </c>
      <c r="O8" s="290" t="s">
        <v>4633</v>
      </c>
      <c r="P8" s="290" t="s">
        <v>999</v>
      </c>
      <c r="Q8" s="291" t="s">
        <v>4623</v>
      </c>
      <c r="R8" s="276"/>
      <c r="S8" s="277">
        <f>IF(OR(C8="",C8=T$4),NA(),MATCH($B8&amp;$C8,'Smelter Reference List'!$J:$J,0))</f>
        <v>9</v>
      </c>
      <c r="T8" s="278"/>
      <c r="U8" s="278"/>
      <c r="V8" s="278"/>
      <c r="W8" s="278"/>
    </row>
    <row r="9" spans="1:23" s="269" customFormat="1" ht="20.25">
      <c r="A9" s="267"/>
      <c r="B9" s="275" t="s">
        <v>2436</v>
      </c>
      <c r="C9" s="275" t="s">
        <v>2822</v>
      </c>
      <c r="D9" s="168" t="s">
        <v>4634</v>
      </c>
      <c r="E9" s="168" t="s">
        <v>2363</v>
      </c>
      <c r="F9" s="168" t="s">
        <v>2821</v>
      </c>
      <c r="G9" s="168" t="s">
        <v>3324</v>
      </c>
      <c r="H9" s="292" t="s">
        <v>4623</v>
      </c>
      <c r="I9" s="293" t="s">
        <v>4623</v>
      </c>
      <c r="J9" s="293" t="s">
        <v>4623</v>
      </c>
      <c r="K9" s="290" t="s">
        <v>4623</v>
      </c>
      <c r="L9" s="290" t="s">
        <v>4623</v>
      </c>
      <c r="M9" s="290" t="s">
        <v>4623</v>
      </c>
      <c r="N9" s="290" t="s">
        <v>4623</v>
      </c>
      <c r="O9" s="290" t="s">
        <v>4623</v>
      </c>
      <c r="P9" s="290" t="s">
        <v>999</v>
      </c>
      <c r="Q9" s="291" t="s">
        <v>4623</v>
      </c>
      <c r="R9" s="276"/>
      <c r="S9" s="277">
        <f>IF(OR(C9="",C9=T$4),NA(),MATCH($B9&amp;$C9,'Smelter Reference List'!$J:$J,0))</f>
        <v>10</v>
      </c>
      <c r="T9" s="278"/>
      <c r="U9" s="278"/>
      <c r="V9" s="278"/>
      <c r="W9" s="278"/>
    </row>
    <row r="10" spans="1:23" s="269" customFormat="1" ht="20.25">
      <c r="A10" s="267"/>
      <c r="B10" s="275" t="s">
        <v>2436</v>
      </c>
      <c r="C10" s="275" t="s">
        <v>85</v>
      </c>
      <c r="D10" s="168" t="s">
        <v>4635</v>
      </c>
      <c r="E10" s="168" t="s">
        <v>2308</v>
      </c>
      <c r="F10" s="168" t="s">
        <v>1329</v>
      </c>
      <c r="G10" s="168" t="s">
        <v>3324</v>
      </c>
      <c r="H10" s="292" t="s">
        <v>4623</v>
      </c>
      <c r="I10" s="293" t="s">
        <v>4623</v>
      </c>
      <c r="J10" s="293" t="s">
        <v>4623</v>
      </c>
      <c r="K10" s="290" t="s">
        <v>4623</v>
      </c>
      <c r="L10" s="290" t="s">
        <v>4623</v>
      </c>
      <c r="M10" s="290" t="s">
        <v>4623</v>
      </c>
      <c r="N10" s="290" t="s">
        <v>4623</v>
      </c>
      <c r="O10" s="290" t="s">
        <v>4623</v>
      </c>
      <c r="P10" s="290" t="s">
        <v>999</v>
      </c>
      <c r="Q10" s="291" t="s">
        <v>4623</v>
      </c>
      <c r="R10" s="276"/>
      <c r="S10" s="277">
        <f>IF(OR(C10="",C10=T$4),NA(),MATCH($B10&amp;$C10,'Smelter Reference List'!$J:$J,0))</f>
        <v>12</v>
      </c>
      <c r="T10" s="278"/>
      <c r="U10" s="278"/>
      <c r="V10" s="278"/>
      <c r="W10" s="278"/>
    </row>
    <row r="11" spans="1:23" s="269" customFormat="1" ht="20.25">
      <c r="A11" s="267"/>
      <c r="B11" s="275" t="s">
        <v>2436</v>
      </c>
      <c r="C11" s="275" t="s">
        <v>1274</v>
      </c>
      <c r="D11" s="168" t="s">
        <v>4636</v>
      </c>
      <c r="E11" s="168" t="s">
        <v>1868</v>
      </c>
      <c r="F11" s="168" t="s">
        <v>1330</v>
      </c>
      <c r="G11" s="168" t="s">
        <v>3324</v>
      </c>
      <c r="H11" s="292" t="s">
        <v>4623</v>
      </c>
      <c r="I11" s="293" t="s">
        <v>4623</v>
      </c>
      <c r="J11" s="293" t="s">
        <v>4623</v>
      </c>
      <c r="K11" s="290" t="s">
        <v>4623</v>
      </c>
      <c r="L11" s="290" t="s">
        <v>4623</v>
      </c>
      <c r="M11" s="290" t="s">
        <v>4623</v>
      </c>
      <c r="N11" s="290" t="s">
        <v>4623</v>
      </c>
      <c r="O11" s="290" t="s">
        <v>4623</v>
      </c>
      <c r="P11" s="290" t="s">
        <v>999</v>
      </c>
      <c r="Q11" s="291" t="s">
        <v>4623</v>
      </c>
      <c r="R11" s="276"/>
      <c r="S11" s="277">
        <f>IF(OR(C11="",C11=T$4),NA(),MATCH($B11&amp;$C11,'Smelter Reference List'!$J:$J,0))</f>
        <v>13</v>
      </c>
      <c r="T11" s="278"/>
      <c r="U11" s="278"/>
      <c r="V11" s="278"/>
      <c r="W11" s="278"/>
    </row>
    <row r="12" spans="1:23" s="269" customFormat="1" ht="20.25">
      <c r="A12" s="267"/>
      <c r="B12" s="275" t="s">
        <v>2436</v>
      </c>
      <c r="C12" s="275" t="s">
        <v>3335</v>
      </c>
      <c r="D12" s="168" t="s">
        <v>4637</v>
      </c>
      <c r="E12" s="168" t="s">
        <v>2283</v>
      </c>
      <c r="F12" s="168" t="s">
        <v>1331</v>
      </c>
      <c r="G12" s="168" t="s">
        <v>3324</v>
      </c>
      <c r="H12" s="292" t="s">
        <v>4623</v>
      </c>
      <c r="I12" s="293" t="s">
        <v>4623</v>
      </c>
      <c r="J12" s="293" t="s">
        <v>4623</v>
      </c>
      <c r="K12" s="290" t="s">
        <v>4623</v>
      </c>
      <c r="L12" s="290" t="s">
        <v>4623</v>
      </c>
      <c r="M12" s="290" t="s">
        <v>4623</v>
      </c>
      <c r="N12" s="290" t="s">
        <v>4623</v>
      </c>
      <c r="O12" s="290" t="s">
        <v>4638</v>
      </c>
      <c r="P12" s="290" t="s">
        <v>999</v>
      </c>
      <c r="Q12" s="291" t="s">
        <v>4623</v>
      </c>
      <c r="R12" s="276"/>
      <c r="S12" s="277">
        <f>IF(OR(C12="",C12=T$4),NA(),MATCH($B12&amp;$C12,'Smelter Reference List'!$J:$J,0))</f>
        <v>15</v>
      </c>
      <c r="T12" s="278"/>
      <c r="U12" s="278"/>
      <c r="V12" s="278"/>
      <c r="W12" s="278"/>
    </row>
    <row r="13" spans="1:23" s="269" customFormat="1" ht="20.25">
      <c r="A13" s="267"/>
      <c r="B13" s="275" t="s">
        <v>2436</v>
      </c>
      <c r="C13" s="275" t="s">
        <v>3518</v>
      </c>
      <c r="D13" s="168" t="s">
        <v>4500</v>
      </c>
      <c r="E13" s="168" t="s">
        <v>2294</v>
      </c>
      <c r="F13" s="168" t="s">
        <v>1423</v>
      </c>
      <c r="G13" s="168" t="s">
        <v>3324</v>
      </c>
      <c r="H13" s="292" t="s">
        <v>4623</v>
      </c>
      <c r="I13" s="293" t="s">
        <v>4623</v>
      </c>
      <c r="J13" s="293" t="s">
        <v>4623</v>
      </c>
      <c r="K13" s="290" t="s">
        <v>4623</v>
      </c>
      <c r="L13" s="290" t="s">
        <v>4623</v>
      </c>
      <c r="M13" s="290" t="s">
        <v>4623</v>
      </c>
      <c r="N13" s="290" t="s">
        <v>4623</v>
      </c>
      <c r="O13" s="290" t="s">
        <v>4623</v>
      </c>
      <c r="P13" s="290" t="s">
        <v>999</v>
      </c>
      <c r="Q13" s="291" t="s">
        <v>4623</v>
      </c>
      <c r="R13" s="276"/>
      <c r="S13" s="277">
        <f>IF(OR(C13="",C13=T$4),NA(),MATCH($B13&amp;$C13,'Smelter Reference List'!$J:$J,0))</f>
        <v>16</v>
      </c>
      <c r="T13" s="278"/>
      <c r="U13" s="278"/>
      <c r="V13" s="278"/>
      <c r="W13" s="278"/>
    </row>
    <row r="14" spans="1:23" s="269" customFormat="1" ht="20.25">
      <c r="A14" s="267"/>
      <c r="B14" s="275" t="s">
        <v>2436</v>
      </c>
      <c r="C14" s="275" t="s">
        <v>1575</v>
      </c>
      <c r="D14" s="168" t="s">
        <v>1575</v>
      </c>
      <c r="E14" s="168" t="s">
        <v>2362</v>
      </c>
      <c r="F14" s="168" t="s">
        <v>1333</v>
      </c>
      <c r="G14" s="168" t="s">
        <v>3324</v>
      </c>
      <c r="H14" s="292" t="s">
        <v>4639</v>
      </c>
      <c r="I14" s="293" t="s">
        <v>4640</v>
      </c>
      <c r="J14" s="293" t="s">
        <v>4641</v>
      </c>
      <c r="K14" s="290" t="s">
        <v>4642</v>
      </c>
      <c r="L14" s="290" t="s">
        <v>4643</v>
      </c>
      <c r="M14" s="290" t="s">
        <v>4623</v>
      </c>
      <c r="N14" s="290" t="s">
        <v>4628</v>
      </c>
      <c r="O14" s="290" t="s">
        <v>4644</v>
      </c>
      <c r="P14" s="290" t="s">
        <v>999</v>
      </c>
      <c r="Q14" s="291" t="s">
        <v>4623</v>
      </c>
      <c r="R14" s="276"/>
      <c r="S14" s="277">
        <f>IF(OR(C14="",C14=T$4),NA(),MATCH($B14&amp;$C14,'Smelter Reference List'!$J:$J,0))</f>
        <v>19</v>
      </c>
      <c r="T14" s="278"/>
      <c r="U14" s="278"/>
      <c r="V14" s="278"/>
      <c r="W14" s="278"/>
    </row>
    <row r="15" spans="1:23" s="269" customFormat="1" ht="20.25">
      <c r="A15" s="267"/>
      <c r="B15" s="275" t="s">
        <v>2436</v>
      </c>
      <c r="C15" s="275" t="s">
        <v>4518</v>
      </c>
      <c r="D15" s="168" t="s">
        <v>4518</v>
      </c>
      <c r="E15" s="168" t="s">
        <v>2290</v>
      </c>
      <c r="F15" s="168" t="s">
        <v>1370</v>
      </c>
      <c r="G15" s="168" t="s">
        <v>3324</v>
      </c>
      <c r="H15" s="292" t="s">
        <v>4623</v>
      </c>
      <c r="I15" s="293" t="s">
        <v>4623</v>
      </c>
      <c r="J15" s="293" t="s">
        <v>4623</v>
      </c>
      <c r="K15" s="290" t="s">
        <v>4623</v>
      </c>
      <c r="L15" s="290" t="s">
        <v>4623</v>
      </c>
      <c r="M15" s="290" t="s">
        <v>4623</v>
      </c>
      <c r="N15" s="290" t="s">
        <v>4623</v>
      </c>
      <c r="O15" s="290" t="s">
        <v>4645</v>
      </c>
      <c r="P15" s="290" t="s">
        <v>999</v>
      </c>
      <c r="Q15" s="291" t="s">
        <v>4623</v>
      </c>
      <c r="R15" s="276"/>
      <c r="S15" s="277">
        <f>IF(OR(C15="",C15=T$4),NA(),MATCH($B15&amp;$C15,'Smelter Reference List'!$J:$J,0))</f>
        <v>20</v>
      </c>
      <c r="T15" s="278"/>
      <c r="U15" s="278"/>
      <c r="V15" s="278"/>
      <c r="W15" s="278"/>
    </row>
    <row r="16" spans="1:23" s="269" customFormat="1" ht="20.25">
      <c r="A16" s="267"/>
      <c r="B16" s="275" t="s">
        <v>2436</v>
      </c>
      <c r="C16" s="275" t="s">
        <v>4519</v>
      </c>
      <c r="D16" s="168" t="s">
        <v>4646</v>
      </c>
      <c r="E16" s="168" t="s">
        <v>1867</v>
      </c>
      <c r="F16" s="168" t="s">
        <v>1369</v>
      </c>
      <c r="G16" s="168" t="s">
        <v>3324</v>
      </c>
      <c r="H16" s="292" t="s">
        <v>4623</v>
      </c>
      <c r="I16" s="293" t="s">
        <v>4623</v>
      </c>
      <c r="J16" s="293" t="s">
        <v>4623</v>
      </c>
      <c r="K16" s="290" t="s">
        <v>4623</v>
      </c>
      <c r="L16" s="290" t="s">
        <v>4623</v>
      </c>
      <c r="M16" s="290" t="s">
        <v>4623</v>
      </c>
      <c r="N16" s="290" t="s">
        <v>4623</v>
      </c>
      <c r="O16" s="290" t="s">
        <v>4645</v>
      </c>
      <c r="P16" s="290" t="s">
        <v>999</v>
      </c>
      <c r="Q16" s="291" t="s">
        <v>4623</v>
      </c>
      <c r="R16" s="276"/>
      <c r="S16" s="277">
        <f>IF(OR(C16="",C16=T$4),NA(),MATCH($B16&amp;$C16,'Smelter Reference List'!$J:$J,0))</f>
        <v>21</v>
      </c>
      <c r="T16" s="278"/>
      <c r="U16" s="278"/>
      <c r="V16" s="278"/>
      <c r="W16" s="278"/>
    </row>
    <row r="17" spans="1:23" s="269" customFormat="1" ht="20.25">
      <c r="A17" s="267"/>
      <c r="B17" s="275" t="s">
        <v>2436</v>
      </c>
      <c r="C17" s="275" t="s">
        <v>4395</v>
      </c>
      <c r="D17" s="168" t="s">
        <v>4647</v>
      </c>
      <c r="E17" s="168" t="s">
        <v>2362</v>
      </c>
      <c r="F17" s="168" t="s">
        <v>1334</v>
      </c>
      <c r="G17" s="168" t="s">
        <v>4623</v>
      </c>
      <c r="H17" s="292" t="s">
        <v>4648</v>
      </c>
      <c r="I17" s="293" t="s">
        <v>4623</v>
      </c>
      <c r="J17" s="293" t="s">
        <v>4623</v>
      </c>
      <c r="K17" s="290" t="s">
        <v>4649</v>
      </c>
      <c r="L17" s="290" t="s">
        <v>4650</v>
      </c>
      <c r="M17" s="290" t="s">
        <v>4623</v>
      </c>
      <c r="N17" s="290" t="s">
        <v>4628</v>
      </c>
      <c r="O17" s="290" t="s">
        <v>4651</v>
      </c>
      <c r="P17" s="290" t="s">
        <v>999</v>
      </c>
      <c r="Q17" s="291" t="s">
        <v>4623</v>
      </c>
      <c r="R17" s="276"/>
      <c r="S17" s="277">
        <f>IF(OR(C17="",C17=T$4),NA(),MATCH($B17&amp;$C17,'Smelter Reference List'!$J:$J,0))</f>
        <v>22</v>
      </c>
      <c r="T17" s="278"/>
      <c r="U17" s="278"/>
      <c r="V17" s="278"/>
      <c r="W17" s="278"/>
    </row>
    <row r="18" spans="1:23" s="269" customFormat="1" ht="20.25">
      <c r="A18" s="267"/>
      <c r="B18" s="275" t="s">
        <v>2436</v>
      </c>
      <c r="C18" s="275" t="s">
        <v>1275</v>
      </c>
      <c r="D18" s="168" t="s">
        <v>1275</v>
      </c>
      <c r="E18" s="168" t="s">
        <v>1859</v>
      </c>
      <c r="F18" s="168" t="s">
        <v>1335</v>
      </c>
      <c r="G18" s="168" t="s">
        <v>3324</v>
      </c>
      <c r="H18" s="292" t="s">
        <v>4623</v>
      </c>
      <c r="I18" s="293" t="s">
        <v>4623</v>
      </c>
      <c r="J18" s="293" t="s">
        <v>4623</v>
      </c>
      <c r="K18" s="290" t="s">
        <v>4623</v>
      </c>
      <c r="L18" s="290" t="s">
        <v>4623</v>
      </c>
      <c r="M18" s="290" t="s">
        <v>4623</v>
      </c>
      <c r="N18" s="290" t="s">
        <v>4623</v>
      </c>
      <c r="O18" s="290" t="s">
        <v>4652</v>
      </c>
      <c r="P18" s="290" t="s">
        <v>999</v>
      </c>
      <c r="Q18" s="291" t="s">
        <v>4623</v>
      </c>
      <c r="R18" s="276"/>
      <c r="S18" s="277">
        <f>IF(OR(C18="",C18=T$4),NA(),MATCH($B18&amp;$C18,'Smelter Reference List'!$J:$J,0))</f>
        <v>24</v>
      </c>
      <c r="T18" s="278"/>
      <c r="U18" s="278"/>
      <c r="V18" s="278"/>
      <c r="W18" s="278"/>
    </row>
    <row r="19" spans="1:23" s="269" customFormat="1" ht="20.25">
      <c r="A19" s="267"/>
      <c r="B19" s="275" t="s">
        <v>2436</v>
      </c>
      <c r="C19" s="275" t="s">
        <v>2564</v>
      </c>
      <c r="D19" s="275" t="s">
        <v>2564</v>
      </c>
      <c r="E19" s="168" t="s">
        <v>2308</v>
      </c>
      <c r="F19" s="168" t="s">
        <v>1336</v>
      </c>
      <c r="G19" s="168" t="s">
        <v>3324</v>
      </c>
      <c r="H19" s="292" t="s">
        <v>4623</v>
      </c>
      <c r="I19" s="293" t="s">
        <v>4623</v>
      </c>
      <c r="J19" s="293" t="s">
        <v>4623</v>
      </c>
      <c r="K19" s="290" t="s">
        <v>4623</v>
      </c>
      <c r="L19" s="290" t="s">
        <v>4623</v>
      </c>
      <c r="M19" s="290" t="s">
        <v>4623</v>
      </c>
      <c r="N19" s="290" t="s">
        <v>4623</v>
      </c>
      <c r="O19" s="290" t="s">
        <v>4653</v>
      </c>
      <c r="P19" s="290" t="s">
        <v>999</v>
      </c>
      <c r="Q19" s="291" t="s">
        <v>4623</v>
      </c>
      <c r="R19" s="276"/>
      <c r="S19" s="277">
        <f>IF(OR(C19="",C19=T$4),NA(),MATCH($B19&amp;$C19,'Smelter Reference List'!$J:$J,0))</f>
        <v>25</v>
      </c>
      <c r="T19" s="278"/>
      <c r="U19" s="278"/>
      <c r="V19" s="278"/>
      <c r="W19" s="278"/>
    </row>
    <row r="20" spans="1:23" s="269" customFormat="1" ht="20.25">
      <c r="A20" s="267"/>
      <c r="B20" s="275" t="s">
        <v>2436</v>
      </c>
      <c r="C20" s="275" t="s">
        <v>1895</v>
      </c>
      <c r="D20" s="168" t="s">
        <v>4654</v>
      </c>
      <c r="E20" s="168" t="s">
        <v>1813</v>
      </c>
      <c r="F20" s="168" t="s">
        <v>1337</v>
      </c>
      <c r="G20" s="168" t="s">
        <v>3324</v>
      </c>
      <c r="H20" s="292" t="s">
        <v>4623</v>
      </c>
      <c r="I20" s="293" t="s">
        <v>4623</v>
      </c>
      <c r="J20" s="293" t="s">
        <v>4623</v>
      </c>
      <c r="K20" s="290" t="s">
        <v>4623</v>
      </c>
      <c r="L20" s="290" t="s">
        <v>4623</v>
      </c>
      <c r="M20" s="290" t="s">
        <v>4623</v>
      </c>
      <c r="N20" s="290" t="s">
        <v>4623</v>
      </c>
      <c r="O20" s="290" t="s">
        <v>4655</v>
      </c>
      <c r="P20" s="290" t="s">
        <v>999</v>
      </c>
      <c r="Q20" s="291" t="s">
        <v>4623</v>
      </c>
      <c r="R20" s="276"/>
      <c r="S20" s="277">
        <f>IF(OR(C20="",C20=T$4),NA(),MATCH($B20&amp;$C20,'Smelter Reference List'!$J:$J,0))</f>
        <v>26</v>
      </c>
      <c r="T20" s="278"/>
      <c r="U20" s="278"/>
      <c r="V20" s="278"/>
      <c r="W20" s="278"/>
    </row>
    <row r="21" spans="1:23" s="269" customFormat="1" ht="20.25">
      <c r="A21" s="267"/>
      <c r="B21" s="275" t="s">
        <v>2436</v>
      </c>
      <c r="C21" s="275" t="s">
        <v>1338</v>
      </c>
      <c r="D21" s="168" t="s">
        <v>4656</v>
      </c>
      <c r="E21" s="168" t="s">
        <v>2308</v>
      </c>
      <c r="F21" s="168" t="s">
        <v>1339</v>
      </c>
      <c r="G21" s="168" t="s">
        <v>3324</v>
      </c>
      <c r="H21" s="292" t="s">
        <v>4623</v>
      </c>
      <c r="I21" s="293" t="s">
        <v>4623</v>
      </c>
      <c r="J21" s="293" t="s">
        <v>4623</v>
      </c>
      <c r="K21" s="290" t="s">
        <v>4623</v>
      </c>
      <c r="L21" s="290" t="s">
        <v>4623</v>
      </c>
      <c r="M21" s="290" t="s">
        <v>4623</v>
      </c>
      <c r="N21" s="290" t="s">
        <v>4623</v>
      </c>
      <c r="O21" s="290" t="s">
        <v>4657</v>
      </c>
      <c r="P21" s="290" t="s">
        <v>999</v>
      </c>
      <c r="Q21" s="291" t="s">
        <v>4623</v>
      </c>
      <c r="R21" s="276"/>
      <c r="S21" s="277">
        <f>IF(OR(C21="",C21=T$4),NA(),MATCH($B21&amp;$C21,'Smelter Reference List'!$J:$J,0))</f>
        <v>27</v>
      </c>
      <c r="T21" s="278"/>
      <c r="U21" s="278"/>
      <c r="V21" s="278"/>
      <c r="W21" s="278"/>
    </row>
    <row r="22" spans="1:23" s="269" customFormat="1" ht="20.25">
      <c r="A22" s="267"/>
      <c r="B22" s="275" t="s">
        <v>2436</v>
      </c>
      <c r="C22" s="275" t="s">
        <v>2566</v>
      </c>
      <c r="D22" s="168" t="s">
        <v>4658</v>
      </c>
      <c r="E22" s="168" t="s">
        <v>1844</v>
      </c>
      <c r="F22" s="168" t="s">
        <v>1340</v>
      </c>
      <c r="G22" s="168" t="s">
        <v>3324</v>
      </c>
      <c r="H22" s="292" t="s">
        <v>4623</v>
      </c>
      <c r="I22" s="293" t="s">
        <v>4623</v>
      </c>
      <c r="J22" s="293" t="s">
        <v>4623</v>
      </c>
      <c r="K22" s="290" t="s">
        <v>4623</v>
      </c>
      <c r="L22" s="290" t="s">
        <v>4623</v>
      </c>
      <c r="M22" s="290" t="s">
        <v>4623</v>
      </c>
      <c r="N22" s="290" t="s">
        <v>4623</v>
      </c>
      <c r="O22" s="290" t="s">
        <v>4628</v>
      </c>
      <c r="P22" s="290" t="s">
        <v>999</v>
      </c>
      <c r="Q22" s="291" t="s">
        <v>4623</v>
      </c>
      <c r="R22" s="276"/>
      <c r="S22" s="277">
        <f>IF(OR(C22="",C22=T$4),NA(),MATCH($B22&amp;$C22,'Smelter Reference List'!$J:$J,0))</f>
        <v>28</v>
      </c>
      <c r="T22" s="278"/>
      <c r="U22" s="278"/>
      <c r="V22" s="278"/>
      <c r="W22" s="278"/>
    </row>
    <row r="23" spans="1:23" s="269" customFormat="1" ht="20.25">
      <c r="A23" s="267"/>
      <c r="B23" s="275" t="s">
        <v>2436</v>
      </c>
      <c r="C23" s="275" t="s">
        <v>1341</v>
      </c>
      <c r="D23" s="168" t="s">
        <v>4659</v>
      </c>
      <c r="E23" s="168" t="s">
        <v>2308</v>
      </c>
      <c r="F23" s="168" t="s">
        <v>1342</v>
      </c>
      <c r="G23" s="168" t="s">
        <v>3324</v>
      </c>
      <c r="H23" s="292" t="s">
        <v>4623</v>
      </c>
      <c r="I23" s="293" t="s">
        <v>4623</v>
      </c>
      <c r="J23" s="293" t="s">
        <v>4623</v>
      </c>
      <c r="K23" s="290" t="s">
        <v>4623</v>
      </c>
      <c r="L23" s="290" t="s">
        <v>4623</v>
      </c>
      <c r="M23" s="290" t="s">
        <v>4623</v>
      </c>
      <c r="N23" s="290" t="s">
        <v>4623</v>
      </c>
      <c r="O23" s="290" t="s">
        <v>4657</v>
      </c>
      <c r="P23" s="290" t="s">
        <v>999</v>
      </c>
      <c r="Q23" s="291" t="s">
        <v>4623</v>
      </c>
      <c r="R23" s="276"/>
      <c r="S23" s="277">
        <f>IF(OR(C23="",C23=T$4),NA(),MATCH($B23&amp;$C23,'Smelter Reference List'!$J:$J,0))</f>
        <v>29</v>
      </c>
      <c r="T23" s="278"/>
      <c r="U23" s="278"/>
      <c r="V23" s="278"/>
      <c r="W23" s="278"/>
    </row>
    <row r="24" spans="1:23" s="269" customFormat="1" ht="20.25">
      <c r="A24" s="267"/>
      <c r="B24" s="275" t="s">
        <v>2436</v>
      </c>
      <c r="C24" s="275" t="s">
        <v>1896</v>
      </c>
      <c r="D24" s="168" t="s">
        <v>1896</v>
      </c>
      <c r="E24" s="168" t="s">
        <v>2388</v>
      </c>
      <c r="F24" s="168" t="s">
        <v>1343</v>
      </c>
      <c r="G24" s="168" t="s">
        <v>3324</v>
      </c>
      <c r="H24" s="292" t="s">
        <v>4623</v>
      </c>
      <c r="I24" s="293" t="s">
        <v>4623</v>
      </c>
      <c r="J24" s="293" t="s">
        <v>4623</v>
      </c>
      <c r="K24" s="290" t="s">
        <v>4623</v>
      </c>
      <c r="L24" s="290" t="s">
        <v>4623</v>
      </c>
      <c r="M24" s="290" t="s">
        <v>4623</v>
      </c>
      <c r="N24" s="290" t="s">
        <v>4623</v>
      </c>
      <c r="O24" s="290" t="s">
        <v>4660</v>
      </c>
      <c r="P24" s="290" t="s">
        <v>999</v>
      </c>
      <c r="Q24" s="291" t="s">
        <v>4623</v>
      </c>
      <c r="R24" s="276"/>
      <c r="S24" s="277">
        <f>IF(OR(C24="",C24=T$4),NA(),MATCH($B24&amp;$C24,'Smelter Reference List'!$J:$J,0))</f>
        <v>30</v>
      </c>
      <c r="T24" s="278"/>
      <c r="U24" s="278"/>
      <c r="V24" s="278"/>
      <c r="W24" s="278"/>
    </row>
    <row r="25" spans="1:23" s="269" customFormat="1" ht="20.25">
      <c r="A25" s="267"/>
      <c r="B25" s="275" t="s">
        <v>2436</v>
      </c>
      <c r="C25" s="275" t="s">
        <v>2791</v>
      </c>
      <c r="D25" s="168" t="s">
        <v>4661</v>
      </c>
      <c r="E25" s="168" t="s">
        <v>2292</v>
      </c>
      <c r="F25" s="168" t="s">
        <v>1345</v>
      </c>
      <c r="G25" s="168" t="s">
        <v>3324</v>
      </c>
      <c r="H25" s="292" t="s">
        <v>4623</v>
      </c>
      <c r="I25" s="293" t="s">
        <v>4623</v>
      </c>
      <c r="J25" s="293" t="s">
        <v>4623</v>
      </c>
      <c r="K25" s="290" t="s">
        <v>4623</v>
      </c>
      <c r="L25" s="290" t="s">
        <v>4623</v>
      </c>
      <c r="M25" s="290" t="s">
        <v>4623</v>
      </c>
      <c r="N25" s="290" t="s">
        <v>4623</v>
      </c>
      <c r="O25" s="290" t="s">
        <v>4623</v>
      </c>
      <c r="P25" s="290" t="s">
        <v>999</v>
      </c>
      <c r="Q25" s="291" t="s">
        <v>4623</v>
      </c>
      <c r="R25" s="276"/>
      <c r="S25" s="277">
        <f>IF(OR(C25="",C25=T$4),NA(),MATCH($B25&amp;$C25,'Smelter Reference List'!$J:$J,0))</f>
        <v>33</v>
      </c>
      <c r="T25" s="278"/>
      <c r="U25" s="278"/>
      <c r="V25" s="278"/>
      <c r="W25" s="278"/>
    </row>
    <row r="26" spans="1:23" s="269" customFormat="1" ht="20.25">
      <c r="A26" s="267"/>
      <c r="B26" s="275" t="s">
        <v>2436</v>
      </c>
      <c r="C26" s="275" t="s">
        <v>3365</v>
      </c>
      <c r="D26" s="168" t="s">
        <v>4396</v>
      </c>
      <c r="E26" s="168" t="s">
        <v>2294</v>
      </c>
      <c r="F26" s="168" t="s">
        <v>1432</v>
      </c>
      <c r="G26" s="168" t="s">
        <v>3324</v>
      </c>
      <c r="H26" s="292" t="s">
        <v>4623</v>
      </c>
      <c r="I26" s="293" t="s">
        <v>4623</v>
      </c>
      <c r="J26" s="293" t="s">
        <v>4623</v>
      </c>
      <c r="K26" s="290" t="s">
        <v>4623</v>
      </c>
      <c r="L26" s="290" t="s">
        <v>4623</v>
      </c>
      <c r="M26" s="290" t="s">
        <v>4623</v>
      </c>
      <c r="N26" s="290" t="s">
        <v>4623</v>
      </c>
      <c r="O26" s="290" t="s">
        <v>4623</v>
      </c>
      <c r="P26" s="290" t="s">
        <v>999</v>
      </c>
      <c r="Q26" s="291" t="s">
        <v>4623</v>
      </c>
      <c r="R26" s="276"/>
      <c r="S26" s="277">
        <f>IF(OR(C26="",C26=T$4),NA(),MATCH($B26&amp;$C26,'Smelter Reference List'!$J:$J,0))</f>
        <v>35</v>
      </c>
      <c r="T26" s="278"/>
      <c r="U26" s="278"/>
      <c r="V26" s="278"/>
      <c r="W26" s="278"/>
    </row>
    <row r="27" spans="1:23" s="269" customFormat="1" ht="20.25">
      <c r="A27" s="267"/>
      <c r="B27" s="275" t="s">
        <v>2436</v>
      </c>
      <c r="C27" s="275" t="s">
        <v>86</v>
      </c>
      <c r="D27" s="168" t="s">
        <v>4662</v>
      </c>
      <c r="E27" s="168" t="s">
        <v>2359</v>
      </c>
      <c r="F27" s="168" t="s">
        <v>1346</v>
      </c>
      <c r="G27" s="168" t="s">
        <v>3324</v>
      </c>
      <c r="H27" s="292" t="s">
        <v>4623</v>
      </c>
      <c r="I27" s="293" t="s">
        <v>4623</v>
      </c>
      <c r="J27" s="293" t="s">
        <v>4623</v>
      </c>
      <c r="K27" s="290" t="s">
        <v>4623</v>
      </c>
      <c r="L27" s="290" t="s">
        <v>4623</v>
      </c>
      <c r="M27" s="290" t="s">
        <v>4623</v>
      </c>
      <c r="N27" s="290" t="s">
        <v>4623</v>
      </c>
      <c r="O27" s="290" t="s">
        <v>4663</v>
      </c>
      <c r="P27" s="290" t="s">
        <v>999</v>
      </c>
      <c r="Q27" s="291" t="s">
        <v>4623</v>
      </c>
      <c r="R27" s="276"/>
      <c r="S27" s="277">
        <f>IF(OR(C27="",C27=T$4),NA(),MATCH($B27&amp;$C27,'Smelter Reference List'!$J:$J,0))</f>
        <v>36</v>
      </c>
      <c r="T27" s="278"/>
      <c r="U27" s="278"/>
      <c r="V27" s="278"/>
      <c r="W27" s="278"/>
    </row>
    <row r="28" spans="1:23" s="269" customFormat="1" ht="20.25">
      <c r="A28" s="267"/>
      <c r="B28" s="275" t="s">
        <v>2436</v>
      </c>
      <c r="C28" s="275" t="s">
        <v>43</v>
      </c>
      <c r="D28" s="168" t="s">
        <v>4664</v>
      </c>
      <c r="E28" s="168" t="s">
        <v>2294</v>
      </c>
      <c r="F28" s="168" t="s">
        <v>1433</v>
      </c>
      <c r="G28" s="168" t="s">
        <v>3324</v>
      </c>
      <c r="H28" s="292" t="s">
        <v>4623</v>
      </c>
      <c r="I28" s="293" t="s">
        <v>4623</v>
      </c>
      <c r="J28" s="293" t="s">
        <v>4623</v>
      </c>
      <c r="K28" s="290" t="s">
        <v>4623</v>
      </c>
      <c r="L28" s="290" t="s">
        <v>4623</v>
      </c>
      <c r="M28" s="290" t="s">
        <v>4623</v>
      </c>
      <c r="N28" s="290" t="s">
        <v>4623</v>
      </c>
      <c r="O28" s="290" t="s">
        <v>4623</v>
      </c>
      <c r="P28" s="290" t="s">
        <v>999</v>
      </c>
      <c r="Q28" s="291" t="s">
        <v>4623</v>
      </c>
      <c r="R28" s="276"/>
      <c r="S28" s="277">
        <f>IF(OR(C28="",C28=T$4),NA(),MATCH($B28&amp;$C28,'Smelter Reference List'!$J:$J,0))</f>
        <v>37</v>
      </c>
      <c r="T28" s="278"/>
      <c r="U28" s="278"/>
      <c r="V28" s="278"/>
      <c r="W28" s="278"/>
    </row>
    <row r="29" spans="1:23" s="269" customFormat="1" ht="20.25">
      <c r="A29" s="267"/>
      <c r="B29" s="275" t="s">
        <v>2436</v>
      </c>
      <c r="C29" s="275" t="s">
        <v>44</v>
      </c>
      <c r="D29" s="168" t="s">
        <v>4665</v>
      </c>
      <c r="E29" s="168" t="s">
        <v>2294</v>
      </c>
      <c r="F29" s="168" t="s">
        <v>1421</v>
      </c>
      <c r="G29" s="168" t="s">
        <v>3324</v>
      </c>
      <c r="H29" s="292" t="s">
        <v>4666</v>
      </c>
      <c r="I29" s="293" t="s">
        <v>3474</v>
      </c>
      <c r="J29" s="293" t="s">
        <v>4623</v>
      </c>
      <c r="K29" s="290" t="s">
        <v>4623</v>
      </c>
      <c r="L29" s="290" t="s">
        <v>4623</v>
      </c>
      <c r="M29" s="290" t="s">
        <v>4623</v>
      </c>
      <c r="N29" s="290" t="s">
        <v>4667</v>
      </c>
      <c r="O29" s="290" t="s">
        <v>4668</v>
      </c>
      <c r="P29" s="290" t="s">
        <v>999</v>
      </c>
      <c r="Q29" s="291" t="s">
        <v>4623</v>
      </c>
      <c r="R29" s="276"/>
      <c r="S29" s="277">
        <f>IF(OR(C29="",C29=T$4),NA(),MATCH($B29&amp;$C29,'Smelter Reference List'!$J:$J,0))</f>
        <v>38</v>
      </c>
      <c r="T29" s="278"/>
      <c r="U29" s="278"/>
      <c r="V29" s="278"/>
      <c r="W29" s="278"/>
    </row>
    <row r="30" spans="1:23" s="269" customFormat="1" ht="20.25">
      <c r="A30" s="267"/>
      <c r="B30" s="275" t="s">
        <v>2436</v>
      </c>
      <c r="C30" s="275" t="s">
        <v>1060</v>
      </c>
      <c r="D30" s="168" t="s">
        <v>1060</v>
      </c>
      <c r="E30" s="168" t="s">
        <v>2362</v>
      </c>
      <c r="F30" s="168" t="s">
        <v>1347</v>
      </c>
      <c r="G30" s="168" t="s">
        <v>3324</v>
      </c>
      <c r="H30" s="292" t="s">
        <v>4669</v>
      </c>
      <c r="I30" s="293" t="s">
        <v>4623</v>
      </c>
      <c r="J30" s="293" t="s">
        <v>4623</v>
      </c>
      <c r="K30" s="290" t="s">
        <v>4670</v>
      </c>
      <c r="L30" s="290" t="s">
        <v>4623</v>
      </c>
      <c r="M30" s="290" t="s">
        <v>4623</v>
      </c>
      <c r="N30" s="290" t="s">
        <v>4671</v>
      </c>
      <c r="O30" s="290" t="s">
        <v>4671</v>
      </c>
      <c r="P30" s="290" t="s">
        <v>999</v>
      </c>
      <c r="Q30" s="291" t="s">
        <v>4623</v>
      </c>
      <c r="R30" s="276"/>
      <c r="S30" s="277">
        <f>IF(OR(C30="",C30=T$4),NA(),MATCH($B30&amp;$C30,'Smelter Reference List'!$J:$J,0))</f>
        <v>39</v>
      </c>
      <c r="T30" s="278"/>
      <c r="U30" s="278"/>
      <c r="V30" s="278"/>
      <c r="W30" s="278"/>
    </row>
    <row r="31" spans="1:23" s="269" customFormat="1" ht="20.25">
      <c r="A31" s="267"/>
      <c r="B31" s="275" t="s">
        <v>2436</v>
      </c>
      <c r="C31" s="275" t="s">
        <v>1349</v>
      </c>
      <c r="D31" s="168" t="s">
        <v>1349</v>
      </c>
      <c r="E31" s="168" t="s">
        <v>2294</v>
      </c>
      <c r="F31" s="168" t="s">
        <v>1350</v>
      </c>
      <c r="G31" s="168" t="s">
        <v>3324</v>
      </c>
      <c r="H31" s="292" t="s">
        <v>4672</v>
      </c>
      <c r="I31" s="293" t="s">
        <v>3372</v>
      </c>
      <c r="J31" s="293" t="s">
        <v>4673</v>
      </c>
      <c r="K31" s="290" t="s">
        <v>4623</v>
      </c>
      <c r="L31" s="290" t="s">
        <v>4623</v>
      </c>
      <c r="M31" s="290" t="s">
        <v>4623</v>
      </c>
      <c r="N31" s="290" t="s">
        <v>4623</v>
      </c>
      <c r="O31" s="290" t="s">
        <v>4623</v>
      </c>
      <c r="P31" s="290" t="s">
        <v>999</v>
      </c>
      <c r="Q31" s="291" t="s">
        <v>4623</v>
      </c>
      <c r="R31" s="276"/>
      <c r="S31" s="277">
        <f>IF(OR(C31="",C31=T$4),NA(),MATCH($B31&amp;$C31,'Smelter Reference List'!$J:$J,0))</f>
        <v>42</v>
      </c>
      <c r="T31" s="278"/>
      <c r="U31" s="278"/>
      <c r="V31" s="278"/>
      <c r="W31" s="278"/>
    </row>
    <row r="32" spans="1:23" s="269" customFormat="1" ht="20.25">
      <c r="A32" s="267"/>
      <c r="B32" s="275" t="s">
        <v>2436</v>
      </c>
      <c r="C32" s="275" t="s">
        <v>1352</v>
      </c>
      <c r="D32" s="168" t="s">
        <v>1352</v>
      </c>
      <c r="E32" s="168" t="s">
        <v>2308</v>
      </c>
      <c r="F32" s="168" t="s">
        <v>1353</v>
      </c>
      <c r="G32" s="168" t="s">
        <v>3324</v>
      </c>
      <c r="H32" s="292" t="s">
        <v>4623</v>
      </c>
      <c r="I32" s="293" t="s">
        <v>4623</v>
      </c>
      <c r="J32" s="293" t="s">
        <v>4623</v>
      </c>
      <c r="K32" s="290" t="s">
        <v>4623</v>
      </c>
      <c r="L32" s="290" t="s">
        <v>4623</v>
      </c>
      <c r="M32" s="290" t="s">
        <v>4623</v>
      </c>
      <c r="N32" s="290" t="s">
        <v>4623</v>
      </c>
      <c r="O32" s="290" t="s">
        <v>4623</v>
      </c>
      <c r="P32" s="290" t="s">
        <v>999</v>
      </c>
      <c r="Q32" s="291" t="s">
        <v>4623</v>
      </c>
      <c r="R32" s="276"/>
      <c r="S32" s="277">
        <f>IF(OR(C32="",C32=T$4),NA(),MATCH($B32&amp;$C32,'Smelter Reference List'!$J:$J,0))</f>
        <v>44</v>
      </c>
      <c r="T32" s="278"/>
      <c r="U32" s="278"/>
      <c r="V32" s="278"/>
      <c r="W32" s="278"/>
    </row>
    <row r="33" spans="1:23" s="269" customFormat="1" ht="20.25">
      <c r="A33" s="267"/>
      <c r="B33" s="275" t="s">
        <v>2436</v>
      </c>
      <c r="C33" s="275" t="s">
        <v>3378</v>
      </c>
      <c r="D33" s="168" t="s">
        <v>1897</v>
      </c>
      <c r="E33" s="168" t="s">
        <v>2362</v>
      </c>
      <c r="F33" s="168" t="s">
        <v>1354</v>
      </c>
      <c r="G33" s="168" t="s">
        <v>3324</v>
      </c>
      <c r="H33" s="292" t="s">
        <v>4674</v>
      </c>
      <c r="I33" s="293" t="s">
        <v>4675</v>
      </c>
      <c r="J33" s="293" t="s">
        <v>3377</v>
      </c>
      <c r="K33" s="290" t="s">
        <v>4676</v>
      </c>
      <c r="L33" s="290" t="s">
        <v>4677</v>
      </c>
      <c r="M33" s="290" t="s">
        <v>4623</v>
      </c>
      <c r="N33" s="290" t="s">
        <v>4678</v>
      </c>
      <c r="O33" s="290" t="s">
        <v>4623</v>
      </c>
      <c r="P33" s="290" t="s">
        <v>999</v>
      </c>
      <c r="Q33" s="291" t="s">
        <v>4623</v>
      </c>
      <c r="R33" s="276"/>
      <c r="S33" s="277">
        <f>IF(OR(C33="",C33=T$4),NA(),MATCH($B33&amp;$C33,'Smelter Reference List'!$J:$J,0))</f>
        <v>48</v>
      </c>
      <c r="T33" s="278"/>
      <c r="U33" s="278"/>
      <c r="V33" s="278"/>
      <c r="W33" s="278"/>
    </row>
    <row r="34" spans="1:23" s="269" customFormat="1" ht="20.25">
      <c r="A34" s="267"/>
      <c r="B34" s="275" t="s">
        <v>2436</v>
      </c>
      <c r="C34" s="275" t="s">
        <v>777</v>
      </c>
      <c r="D34" s="168" t="s">
        <v>4679</v>
      </c>
      <c r="E34" s="168" t="s">
        <v>2362</v>
      </c>
      <c r="F34" s="168" t="s">
        <v>778</v>
      </c>
      <c r="G34" s="168" t="s">
        <v>3324</v>
      </c>
      <c r="H34" s="292" t="s">
        <v>4680</v>
      </c>
      <c r="I34" s="293" t="s">
        <v>4681</v>
      </c>
      <c r="J34" s="293" t="s">
        <v>4623</v>
      </c>
      <c r="K34" s="290" t="s">
        <v>4623</v>
      </c>
      <c r="L34" s="290" t="s">
        <v>4623</v>
      </c>
      <c r="M34" s="290" t="s">
        <v>4623</v>
      </c>
      <c r="N34" s="290" t="s">
        <v>4623</v>
      </c>
      <c r="O34" s="290" t="s">
        <v>4623</v>
      </c>
      <c r="P34" s="290" t="s">
        <v>999</v>
      </c>
      <c r="Q34" s="291" t="s">
        <v>4623</v>
      </c>
      <c r="R34" s="276"/>
      <c r="S34" s="277">
        <f>IF(OR(C34="",C34=T$4),NA(),MATCH($B34&amp;$C34,'Smelter Reference List'!$J:$J,0))</f>
        <v>51</v>
      </c>
      <c r="T34" s="278"/>
      <c r="U34" s="278"/>
      <c r="V34" s="278"/>
      <c r="W34" s="278"/>
    </row>
    <row r="35" spans="1:23" s="269" customFormat="1" ht="20.25">
      <c r="A35" s="267"/>
      <c r="B35" s="275" t="s">
        <v>2436</v>
      </c>
      <c r="C35" s="275" t="s">
        <v>3549</v>
      </c>
      <c r="D35" s="168" t="s">
        <v>4682</v>
      </c>
      <c r="E35" s="168" t="s">
        <v>2359</v>
      </c>
      <c r="F35" s="168" t="s">
        <v>3550</v>
      </c>
      <c r="G35" s="168" t="s">
        <v>3324</v>
      </c>
      <c r="H35" s="292" t="s">
        <v>4623</v>
      </c>
      <c r="I35" s="293" t="s">
        <v>4623</v>
      </c>
      <c r="J35" s="293" t="s">
        <v>4623</v>
      </c>
      <c r="K35" s="290" t="s">
        <v>4623</v>
      </c>
      <c r="L35" s="290" t="s">
        <v>4623</v>
      </c>
      <c r="M35" s="290" t="s">
        <v>4623</v>
      </c>
      <c r="N35" s="290" t="s">
        <v>4623</v>
      </c>
      <c r="O35" s="290" t="s">
        <v>4623</v>
      </c>
      <c r="P35" s="290" t="s">
        <v>999</v>
      </c>
      <c r="Q35" s="291" t="s">
        <v>4623</v>
      </c>
      <c r="R35" s="276"/>
      <c r="S35" s="277">
        <f>IF(OR(C35="",C35=T$4),NA(),MATCH($B35&amp;$C35,'Smelter Reference List'!$J:$J,0))</f>
        <v>54</v>
      </c>
      <c r="T35" s="278"/>
      <c r="U35" s="278"/>
      <c r="V35" s="278"/>
      <c r="W35" s="278"/>
    </row>
    <row r="36" spans="1:23" s="269" customFormat="1" ht="20.25">
      <c r="A36" s="267"/>
      <c r="B36" s="275" t="s">
        <v>2436</v>
      </c>
      <c r="C36" s="275" t="s">
        <v>1898</v>
      </c>
      <c r="D36" s="168" t="s">
        <v>4683</v>
      </c>
      <c r="E36" s="168" t="s">
        <v>1825</v>
      </c>
      <c r="F36" s="168" t="s">
        <v>1355</v>
      </c>
      <c r="G36" s="168" t="s">
        <v>3324</v>
      </c>
      <c r="H36" s="292" t="s">
        <v>4623</v>
      </c>
      <c r="I36" s="293" t="s">
        <v>4623</v>
      </c>
      <c r="J36" s="293" t="s">
        <v>4623</v>
      </c>
      <c r="K36" s="290" t="s">
        <v>4623</v>
      </c>
      <c r="L36" s="290" t="s">
        <v>4623</v>
      </c>
      <c r="M36" s="290" t="s">
        <v>4623</v>
      </c>
      <c r="N36" s="290" t="s">
        <v>4623</v>
      </c>
      <c r="O36" s="290" t="s">
        <v>4684</v>
      </c>
      <c r="P36" s="290" t="s">
        <v>999</v>
      </c>
      <c r="Q36" s="291" t="s">
        <v>4623</v>
      </c>
      <c r="R36" s="276"/>
      <c r="S36" s="277">
        <f>IF(OR(C36="",C36=T$4),NA(),MATCH($B36&amp;$C36,'Smelter Reference List'!$J:$J,0))</f>
        <v>56</v>
      </c>
      <c r="T36" s="278"/>
      <c r="U36" s="278"/>
      <c r="V36" s="278"/>
      <c r="W36" s="278"/>
    </row>
    <row r="37" spans="1:23" s="269" customFormat="1" ht="20.25">
      <c r="A37" s="267"/>
      <c r="B37" s="275" t="s">
        <v>2436</v>
      </c>
      <c r="C37" s="275" t="s">
        <v>45</v>
      </c>
      <c r="D37" s="168" t="s">
        <v>4544</v>
      </c>
      <c r="E37" s="168" t="s">
        <v>2294</v>
      </c>
      <c r="F37" s="168" t="s">
        <v>1434</v>
      </c>
      <c r="G37" s="168" t="s">
        <v>3324</v>
      </c>
      <c r="H37" s="292" t="s">
        <v>4623</v>
      </c>
      <c r="I37" s="293" t="s">
        <v>4623</v>
      </c>
      <c r="J37" s="293" t="s">
        <v>4623</v>
      </c>
      <c r="K37" s="290" t="s">
        <v>4623</v>
      </c>
      <c r="L37" s="290" t="s">
        <v>4623</v>
      </c>
      <c r="M37" s="290" t="s">
        <v>4623</v>
      </c>
      <c r="N37" s="290" t="s">
        <v>4623</v>
      </c>
      <c r="O37" s="290" t="s">
        <v>4623</v>
      </c>
      <c r="P37" s="290" t="s">
        <v>999</v>
      </c>
      <c r="Q37" s="291" t="s">
        <v>4623</v>
      </c>
      <c r="R37" s="276"/>
      <c r="S37" s="277">
        <f>IF(OR(C37="",C37=T$4),NA(),MATCH($B37&amp;$C37,'Smelter Reference List'!$J:$J,0))</f>
        <v>57</v>
      </c>
      <c r="T37" s="278"/>
      <c r="U37" s="278"/>
      <c r="V37" s="278"/>
      <c r="W37" s="278"/>
    </row>
    <row r="38" spans="1:23" s="269" customFormat="1" ht="20.25">
      <c r="A38" s="267"/>
      <c r="B38" s="275" t="s">
        <v>2436</v>
      </c>
      <c r="C38" s="275" t="s">
        <v>4399</v>
      </c>
      <c r="D38" s="168" t="s">
        <v>4399</v>
      </c>
      <c r="E38" s="168" t="s">
        <v>2294</v>
      </c>
      <c r="F38" s="168" t="s">
        <v>1356</v>
      </c>
      <c r="G38" s="168" t="s">
        <v>3324</v>
      </c>
      <c r="H38" s="292" t="s">
        <v>4685</v>
      </c>
      <c r="I38" s="293" t="s">
        <v>3386</v>
      </c>
      <c r="J38" s="293" t="s">
        <v>4623</v>
      </c>
      <c r="K38" s="290" t="s">
        <v>4623</v>
      </c>
      <c r="L38" s="290" t="s">
        <v>4623</v>
      </c>
      <c r="M38" s="290" t="s">
        <v>4623</v>
      </c>
      <c r="N38" s="290" t="s">
        <v>4623</v>
      </c>
      <c r="O38" s="290" t="s">
        <v>4623</v>
      </c>
      <c r="P38" s="290" t="s">
        <v>999</v>
      </c>
      <c r="Q38" s="291" t="s">
        <v>4623</v>
      </c>
      <c r="R38" s="276"/>
      <c r="S38" s="277">
        <f>IF(OR(C38="",C38=T$4),NA(),MATCH($B38&amp;$C38,'Smelter Reference List'!$J:$J,0))</f>
        <v>58</v>
      </c>
      <c r="T38" s="278"/>
      <c r="U38" s="278"/>
      <c r="V38" s="278"/>
      <c r="W38" s="278"/>
    </row>
    <row r="39" spans="1:23" s="269" customFormat="1" ht="20.25">
      <c r="A39" s="267"/>
      <c r="B39" s="275" t="s">
        <v>2436</v>
      </c>
      <c r="C39" s="275" t="s">
        <v>3553</v>
      </c>
      <c r="D39" s="168" t="s">
        <v>3553</v>
      </c>
      <c r="E39" s="168" t="s">
        <v>1867</v>
      </c>
      <c r="F39" s="168" t="s">
        <v>3554</v>
      </c>
      <c r="G39" s="168" t="s">
        <v>3324</v>
      </c>
      <c r="H39" s="292" t="s">
        <v>4623</v>
      </c>
      <c r="I39" s="293" t="s">
        <v>4623</v>
      </c>
      <c r="J39" s="293" t="s">
        <v>4623</v>
      </c>
      <c r="K39" s="290" t="s">
        <v>4623</v>
      </c>
      <c r="L39" s="290" t="s">
        <v>4623</v>
      </c>
      <c r="M39" s="290" t="s">
        <v>4623</v>
      </c>
      <c r="N39" s="290" t="s">
        <v>4623</v>
      </c>
      <c r="O39" s="290" t="s">
        <v>4623</v>
      </c>
      <c r="P39" s="290" t="s">
        <v>999</v>
      </c>
      <c r="Q39" s="291" t="s">
        <v>4623</v>
      </c>
      <c r="R39" s="276"/>
      <c r="S39" s="277">
        <f>IF(OR(C39="",C39=T$4),NA(),MATCH($B39&amp;$C39,'Smelter Reference List'!$J:$J,0))</f>
        <v>59</v>
      </c>
      <c r="T39" s="278"/>
      <c r="U39" s="278"/>
      <c r="V39" s="278"/>
      <c r="W39" s="278"/>
    </row>
    <row r="40" spans="1:23" s="269" customFormat="1" ht="20.25">
      <c r="A40" s="267"/>
      <c r="B40" s="275" t="s">
        <v>2436</v>
      </c>
      <c r="C40" s="275" t="s">
        <v>3513</v>
      </c>
      <c r="D40" s="168" t="s">
        <v>4686</v>
      </c>
      <c r="E40" s="168" t="s">
        <v>2294</v>
      </c>
      <c r="F40" s="168" t="s">
        <v>1420</v>
      </c>
      <c r="G40" s="168" t="s">
        <v>3324</v>
      </c>
      <c r="H40" s="292" t="s">
        <v>4687</v>
      </c>
      <c r="I40" s="293" t="s">
        <v>3500</v>
      </c>
      <c r="J40" s="293" t="s">
        <v>3501</v>
      </c>
      <c r="K40" s="290" t="s">
        <v>4688</v>
      </c>
      <c r="L40" s="290" t="s">
        <v>4689</v>
      </c>
      <c r="M40" s="290" t="s">
        <v>4623</v>
      </c>
      <c r="N40" s="290" t="s">
        <v>4623</v>
      </c>
      <c r="O40" s="290" t="s">
        <v>4623</v>
      </c>
      <c r="P40" s="290" t="s">
        <v>999</v>
      </c>
      <c r="Q40" s="291" t="s">
        <v>4623</v>
      </c>
      <c r="R40" s="276"/>
      <c r="S40" s="277">
        <f>IF(OR(C40="",C40=T$4),NA(),MATCH($B40&amp;$C40,'Smelter Reference List'!$J:$J,0))</f>
        <v>61</v>
      </c>
      <c r="T40" s="278"/>
      <c r="U40" s="278"/>
      <c r="V40" s="278"/>
      <c r="W40" s="278"/>
    </row>
    <row r="41" spans="1:23" s="269" customFormat="1" ht="20.25">
      <c r="A41" s="267"/>
      <c r="B41" s="275" t="s">
        <v>2436</v>
      </c>
      <c r="C41" s="275" t="s">
        <v>3546</v>
      </c>
      <c r="D41" s="168" t="s">
        <v>1357</v>
      </c>
      <c r="E41" s="168" t="s">
        <v>2294</v>
      </c>
      <c r="F41" s="168" t="s">
        <v>1358</v>
      </c>
      <c r="G41" s="168" t="s">
        <v>3324</v>
      </c>
      <c r="H41" s="292" t="s">
        <v>4623</v>
      </c>
      <c r="I41" s="293" t="s">
        <v>4623</v>
      </c>
      <c r="J41" s="293" t="s">
        <v>4623</v>
      </c>
      <c r="K41" s="290" t="s">
        <v>4623</v>
      </c>
      <c r="L41" s="290" t="s">
        <v>4623</v>
      </c>
      <c r="M41" s="290" t="s">
        <v>4623</v>
      </c>
      <c r="N41" s="290" t="s">
        <v>4623</v>
      </c>
      <c r="O41" s="290" t="s">
        <v>4623</v>
      </c>
      <c r="P41" s="290" t="s">
        <v>999</v>
      </c>
      <c r="Q41" s="291" t="s">
        <v>4623</v>
      </c>
      <c r="R41" s="276"/>
      <c r="S41" s="277">
        <f>IF(OR(C41="",C41=T$4),NA(),MATCH($B41&amp;$C41,'Smelter Reference List'!$J:$J,0))</f>
        <v>63</v>
      </c>
      <c r="T41" s="278"/>
      <c r="U41" s="278"/>
      <c r="V41" s="278"/>
      <c r="W41" s="278"/>
    </row>
    <row r="42" spans="1:23" s="269" customFormat="1" ht="20.25">
      <c r="A42" s="267"/>
      <c r="B42" s="275" t="s">
        <v>2436</v>
      </c>
      <c r="C42" s="275" t="s">
        <v>3387</v>
      </c>
      <c r="D42" s="168" t="s">
        <v>3387</v>
      </c>
      <c r="E42" s="168" t="s">
        <v>2294</v>
      </c>
      <c r="F42" s="168" t="s">
        <v>3388</v>
      </c>
      <c r="G42" s="168" t="s">
        <v>3324</v>
      </c>
      <c r="H42" s="292" t="s">
        <v>4623</v>
      </c>
      <c r="I42" s="293" t="s">
        <v>4623</v>
      </c>
      <c r="J42" s="293" t="s">
        <v>4623</v>
      </c>
      <c r="K42" s="290" t="s">
        <v>4623</v>
      </c>
      <c r="L42" s="290" t="s">
        <v>4623</v>
      </c>
      <c r="M42" s="290" t="s">
        <v>4623</v>
      </c>
      <c r="N42" s="290" t="s">
        <v>4623</v>
      </c>
      <c r="O42" s="290" t="s">
        <v>4623</v>
      </c>
      <c r="P42" s="290" t="s">
        <v>999</v>
      </c>
      <c r="Q42" s="291" t="s">
        <v>4623</v>
      </c>
      <c r="R42" s="276"/>
      <c r="S42" s="277">
        <f>IF(OR(C42="",C42=T$4),NA(),MATCH($B42&amp;$C42,'Smelter Reference List'!$J:$J,0))</f>
        <v>65</v>
      </c>
      <c r="T42" s="278"/>
      <c r="U42" s="278"/>
      <c r="V42" s="278"/>
      <c r="W42" s="278"/>
    </row>
    <row r="43" spans="1:23" s="269" customFormat="1" ht="20.25">
      <c r="A43" s="267"/>
      <c r="B43" s="275" t="s">
        <v>2436</v>
      </c>
      <c r="C43" s="275" t="s">
        <v>774</v>
      </c>
      <c r="D43" s="168" t="s">
        <v>774</v>
      </c>
      <c r="E43" s="168" t="s">
        <v>2294</v>
      </c>
      <c r="F43" s="168" t="s">
        <v>775</v>
      </c>
      <c r="G43" s="168" t="s">
        <v>3324</v>
      </c>
      <c r="H43" s="292" t="s">
        <v>4623</v>
      </c>
      <c r="I43" s="293" t="s">
        <v>4623</v>
      </c>
      <c r="J43" s="293" t="s">
        <v>4623</v>
      </c>
      <c r="K43" s="290" t="s">
        <v>4623</v>
      </c>
      <c r="L43" s="290" t="s">
        <v>4623</v>
      </c>
      <c r="M43" s="290" t="s">
        <v>4623</v>
      </c>
      <c r="N43" s="290" t="s">
        <v>4623</v>
      </c>
      <c r="O43" s="290" t="s">
        <v>4667</v>
      </c>
      <c r="P43" s="290" t="s">
        <v>999</v>
      </c>
      <c r="Q43" s="291" t="s">
        <v>4623</v>
      </c>
      <c r="R43" s="276"/>
      <c r="S43" s="277">
        <f>IF(OR(C43="",C43=T$4),NA(),MATCH($B43&amp;$C43,'Smelter Reference List'!$J:$J,0))</f>
        <v>66</v>
      </c>
      <c r="T43" s="278"/>
      <c r="U43" s="278"/>
      <c r="V43" s="278"/>
      <c r="W43" s="278"/>
    </row>
    <row r="44" spans="1:23" s="269" customFormat="1" ht="20.25">
      <c r="A44" s="267"/>
      <c r="B44" s="275" t="s">
        <v>2436</v>
      </c>
      <c r="C44" s="275" t="s">
        <v>2070</v>
      </c>
      <c r="D44" s="168" t="s">
        <v>4690</v>
      </c>
      <c r="E44" s="168" t="s">
        <v>2308</v>
      </c>
      <c r="F44" s="168" t="s">
        <v>1359</v>
      </c>
      <c r="G44" s="168" t="s">
        <v>3324</v>
      </c>
      <c r="H44" s="292" t="s">
        <v>4623</v>
      </c>
      <c r="I44" s="293" t="s">
        <v>4623</v>
      </c>
      <c r="J44" s="293" t="s">
        <v>4623</v>
      </c>
      <c r="K44" s="290" t="s">
        <v>4623</v>
      </c>
      <c r="L44" s="290" t="s">
        <v>4623</v>
      </c>
      <c r="M44" s="290" t="s">
        <v>4623</v>
      </c>
      <c r="N44" s="290" t="s">
        <v>4623</v>
      </c>
      <c r="O44" s="290" t="s">
        <v>4691</v>
      </c>
      <c r="P44" s="290" t="s">
        <v>999</v>
      </c>
      <c r="Q44" s="291" t="s">
        <v>4623</v>
      </c>
      <c r="R44" s="276"/>
      <c r="S44" s="277">
        <f>IF(OR(C44="",C44=T$4),NA(),MATCH($B44&amp;$C44,'Smelter Reference List'!$J:$J,0))</f>
        <v>67</v>
      </c>
      <c r="T44" s="278"/>
      <c r="U44" s="278"/>
      <c r="V44" s="278"/>
      <c r="W44" s="278"/>
    </row>
    <row r="45" spans="1:23" s="269" customFormat="1" ht="20.25">
      <c r="A45" s="267"/>
      <c r="B45" s="275" t="s">
        <v>2436</v>
      </c>
      <c r="C45" s="275" t="s">
        <v>87</v>
      </c>
      <c r="D45" s="168" t="s">
        <v>87</v>
      </c>
      <c r="E45" s="168" t="s">
        <v>2294</v>
      </c>
      <c r="F45" s="168" t="s">
        <v>1360</v>
      </c>
      <c r="G45" s="168" t="s">
        <v>3324</v>
      </c>
      <c r="H45" s="292" t="s">
        <v>4623</v>
      </c>
      <c r="I45" s="293" t="s">
        <v>4623</v>
      </c>
      <c r="J45" s="293" t="s">
        <v>4623</v>
      </c>
      <c r="K45" s="290" t="s">
        <v>4623</v>
      </c>
      <c r="L45" s="290" t="s">
        <v>4623</v>
      </c>
      <c r="M45" s="290" t="s">
        <v>4623</v>
      </c>
      <c r="N45" s="290" t="s">
        <v>4623</v>
      </c>
      <c r="O45" s="290" t="s">
        <v>4692</v>
      </c>
      <c r="P45" s="290" t="s">
        <v>999</v>
      </c>
      <c r="Q45" s="291" t="s">
        <v>4623</v>
      </c>
      <c r="R45" s="276"/>
      <c r="S45" s="277">
        <f>IF(OR(C45="",C45=T$4),NA(),MATCH($B45&amp;$C45,'Smelter Reference List'!$J:$J,0))</f>
        <v>71</v>
      </c>
      <c r="T45" s="278"/>
      <c r="U45" s="278"/>
      <c r="V45" s="278"/>
      <c r="W45" s="278"/>
    </row>
    <row r="46" spans="1:23" s="269" customFormat="1" ht="20.25">
      <c r="A46" s="267"/>
      <c r="B46" s="275" t="s">
        <v>2436</v>
      </c>
      <c r="C46" s="275" t="s">
        <v>2567</v>
      </c>
      <c r="D46" s="168" t="s">
        <v>4693</v>
      </c>
      <c r="E46" s="168" t="s">
        <v>2308</v>
      </c>
      <c r="F46" s="168" t="s">
        <v>1361</v>
      </c>
      <c r="G46" s="168" t="s">
        <v>3324</v>
      </c>
      <c r="H46" s="292" t="s">
        <v>4623</v>
      </c>
      <c r="I46" s="293" t="s">
        <v>4623</v>
      </c>
      <c r="J46" s="293" t="s">
        <v>4623</v>
      </c>
      <c r="K46" s="290" t="s">
        <v>4623</v>
      </c>
      <c r="L46" s="290" t="s">
        <v>4623</v>
      </c>
      <c r="M46" s="290" t="s">
        <v>4623</v>
      </c>
      <c r="N46" s="290" t="s">
        <v>4623</v>
      </c>
      <c r="O46" s="290" t="s">
        <v>4694</v>
      </c>
      <c r="P46" s="290" t="s">
        <v>999</v>
      </c>
      <c r="Q46" s="291" t="s">
        <v>4623</v>
      </c>
      <c r="R46" s="276"/>
      <c r="S46" s="277">
        <f>IF(OR(C46="",C46=T$4),NA(),MATCH($B46&amp;$C46,'Smelter Reference List'!$J:$J,0))</f>
        <v>72</v>
      </c>
      <c r="T46" s="278"/>
      <c r="U46" s="278"/>
      <c r="V46" s="278"/>
      <c r="W46" s="278"/>
    </row>
    <row r="47" spans="1:23" s="269" customFormat="1" ht="20.25">
      <c r="A47" s="267"/>
      <c r="B47" s="275" t="s">
        <v>2436</v>
      </c>
      <c r="C47" s="275" t="s">
        <v>2792</v>
      </c>
      <c r="D47" s="168" t="s">
        <v>4540</v>
      </c>
      <c r="E47" s="168" t="s">
        <v>2294</v>
      </c>
      <c r="F47" s="168" t="s">
        <v>1362</v>
      </c>
      <c r="G47" s="168" t="s">
        <v>3324</v>
      </c>
      <c r="H47" s="292" t="s">
        <v>4695</v>
      </c>
      <c r="I47" s="293" t="s">
        <v>4385</v>
      </c>
      <c r="J47" s="293" t="s">
        <v>3390</v>
      </c>
      <c r="K47" s="290" t="s">
        <v>4696</v>
      </c>
      <c r="L47" s="290" t="s">
        <v>4697</v>
      </c>
      <c r="M47" s="290" t="s">
        <v>4623</v>
      </c>
      <c r="N47" s="290" t="s">
        <v>4623</v>
      </c>
      <c r="O47" s="290" t="s">
        <v>4623</v>
      </c>
      <c r="P47" s="290" t="s">
        <v>999</v>
      </c>
      <c r="Q47" s="291" t="s">
        <v>4623</v>
      </c>
      <c r="R47" s="276"/>
      <c r="S47" s="277">
        <f>IF(OR(C47="",C47=T$4),NA(),MATCH($B47&amp;$C47,'Smelter Reference List'!$J:$J,0))</f>
        <v>73</v>
      </c>
      <c r="T47" s="278"/>
      <c r="U47" s="278"/>
      <c r="V47" s="278"/>
      <c r="W47" s="278"/>
    </row>
    <row r="48" spans="1:23" s="269" customFormat="1" ht="20.25">
      <c r="A48" s="267"/>
      <c r="B48" s="275" t="s">
        <v>2436</v>
      </c>
      <c r="C48" s="275" t="s">
        <v>1276</v>
      </c>
      <c r="D48" s="168" t="s">
        <v>4698</v>
      </c>
      <c r="E48" s="168" t="s">
        <v>2294</v>
      </c>
      <c r="F48" s="168" t="s">
        <v>1364</v>
      </c>
      <c r="G48" s="168" t="s">
        <v>3324</v>
      </c>
      <c r="H48" s="292" t="s">
        <v>4623</v>
      </c>
      <c r="I48" s="293" t="s">
        <v>4623</v>
      </c>
      <c r="J48" s="293" t="s">
        <v>4623</v>
      </c>
      <c r="K48" s="290" t="s">
        <v>4623</v>
      </c>
      <c r="L48" s="290" t="s">
        <v>4623</v>
      </c>
      <c r="M48" s="290" t="s">
        <v>4623</v>
      </c>
      <c r="N48" s="290" t="s">
        <v>4623</v>
      </c>
      <c r="O48" s="290" t="s">
        <v>4667</v>
      </c>
      <c r="P48" s="290" t="s">
        <v>999</v>
      </c>
      <c r="Q48" s="291" t="s">
        <v>4623</v>
      </c>
      <c r="R48" s="276"/>
      <c r="S48" s="277">
        <f>IF(OR(C48="",C48=T$4),NA(),MATCH($B48&amp;$C48,'Smelter Reference List'!$J:$J,0))</f>
        <v>77</v>
      </c>
      <c r="T48" s="278"/>
      <c r="U48" s="278"/>
      <c r="V48" s="278"/>
      <c r="W48" s="278"/>
    </row>
    <row r="49" spans="1:23" s="269" customFormat="1" ht="20.25">
      <c r="A49" s="267"/>
      <c r="B49" s="275" t="s">
        <v>2436</v>
      </c>
      <c r="C49" s="275" t="s">
        <v>2568</v>
      </c>
      <c r="D49" s="168" t="s">
        <v>2568</v>
      </c>
      <c r="E49" s="168" t="s">
        <v>2362</v>
      </c>
      <c r="F49" s="168" t="s">
        <v>1365</v>
      </c>
      <c r="G49" s="168" t="s">
        <v>3324</v>
      </c>
      <c r="H49" s="292" t="s">
        <v>4623</v>
      </c>
      <c r="I49" s="293" t="s">
        <v>4623</v>
      </c>
      <c r="J49" s="293" t="s">
        <v>4623</v>
      </c>
      <c r="K49" s="290" t="s">
        <v>4623</v>
      </c>
      <c r="L49" s="290" t="s">
        <v>4623</v>
      </c>
      <c r="M49" s="290" t="s">
        <v>4623</v>
      </c>
      <c r="N49" s="290" t="s">
        <v>4623</v>
      </c>
      <c r="O49" s="290" t="s">
        <v>4699</v>
      </c>
      <c r="P49" s="290" t="s">
        <v>999</v>
      </c>
      <c r="Q49" s="291" t="s">
        <v>4623</v>
      </c>
      <c r="R49" s="276"/>
      <c r="S49" s="277">
        <f>IF(OR(C49="",C49=T$4),NA(),MATCH($B49&amp;$C49,'Smelter Reference List'!$J:$J,0))</f>
        <v>78</v>
      </c>
      <c r="T49" s="278"/>
      <c r="U49" s="278"/>
      <c r="V49" s="278"/>
      <c r="W49" s="278"/>
    </row>
    <row r="50" spans="1:23" s="269" customFormat="1" ht="20.25">
      <c r="A50" s="267"/>
      <c r="B50" s="275" t="s">
        <v>2436</v>
      </c>
      <c r="C50" s="275" t="s">
        <v>2580</v>
      </c>
      <c r="D50" s="168" t="s">
        <v>2580</v>
      </c>
      <c r="E50" s="168" t="s">
        <v>1859</v>
      </c>
      <c r="F50" s="168" t="s">
        <v>1366</v>
      </c>
      <c r="G50" s="168" t="s">
        <v>3324</v>
      </c>
      <c r="H50" s="292" t="s">
        <v>4623</v>
      </c>
      <c r="I50" s="293" t="s">
        <v>4623</v>
      </c>
      <c r="J50" s="293" t="s">
        <v>4623</v>
      </c>
      <c r="K50" s="290" t="s">
        <v>4623</v>
      </c>
      <c r="L50" s="290" t="s">
        <v>4623</v>
      </c>
      <c r="M50" s="290" t="s">
        <v>4623</v>
      </c>
      <c r="N50" s="290" t="s">
        <v>4623</v>
      </c>
      <c r="O50" s="290" t="s">
        <v>4645</v>
      </c>
      <c r="P50" s="290" t="s">
        <v>999</v>
      </c>
      <c r="Q50" s="291" t="s">
        <v>4623</v>
      </c>
      <c r="R50" s="276"/>
      <c r="S50" s="277">
        <f>IF(OR(C50="",C50=T$4),NA(),MATCH($B50&amp;$C50,'Smelter Reference List'!$J:$J,0))</f>
        <v>79</v>
      </c>
      <c r="T50" s="278"/>
      <c r="U50" s="278"/>
      <c r="V50" s="278"/>
      <c r="W50" s="278"/>
    </row>
    <row r="51" spans="1:23" s="269" customFormat="1" ht="20.25">
      <c r="A51" s="267"/>
      <c r="B51" s="275" t="s">
        <v>2436</v>
      </c>
      <c r="C51" s="275" t="s">
        <v>1899</v>
      </c>
      <c r="D51" s="168" t="s">
        <v>1899</v>
      </c>
      <c r="E51" s="168" t="s">
        <v>2362</v>
      </c>
      <c r="F51" s="168" t="s">
        <v>1367</v>
      </c>
      <c r="G51" s="168" t="s">
        <v>3324</v>
      </c>
      <c r="H51" s="292" t="s">
        <v>4623</v>
      </c>
      <c r="I51" s="293" t="s">
        <v>4623</v>
      </c>
      <c r="J51" s="293" t="s">
        <v>4623</v>
      </c>
      <c r="K51" s="290" t="s">
        <v>4623</v>
      </c>
      <c r="L51" s="290" t="s">
        <v>4623</v>
      </c>
      <c r="M51" s="290" t="s">
        <v>4623</v>
      </c>
      <c r="N51" s="290" t="s">
        <v>4623</v>
      </c>
      <c r="O51" s="290" t="s">
        <v>4700</v>
      </c>
      <c r="P51" s="290" t="s">
        <v>999</v>
      </c>
      <c r="Q51" s="291" t="s">
        <v>4623</v>
      </c>
      <c r="R51" s="276"/>
      <c r="S51" s="277">
        <f>IF(OR(C51="",C51=T$4),NA(),MATCH($B51&amp;$C51,'Smelter Reference List'!$J:$J,0))</f>
        <v>80</v>
      </c>
      <c r="T51" s="278"/>
      <c r="U51" s="278"/>
      <c r="V51" s="278"/>
      <c r="W51" s="278"/>
    </row>
    <row r="52" spans="1:23" s="269" customFormat="1" ht="20.25">
      <c r="A52" s="267"/>
      <c r="B52" s="275" t="s">
        <v>2436</v>
      </c>
      <c r="C52" s="275" t="s">
        <v>3409</v>
      </c>
      <c r="D52" s="168" t="s">
        <v>1277</v>
      </c>
      <c r="E52" s="168" t="s">
        <v>2294</v>
      </c>
      <c r="F52" s="168" t="s">
        <v>1368</v>
      </c>
      <c r="G52" s="168" t="s">
        <v>3324</v>
      </c>
      <c r="H52" s="292" t="s">
        <v>4623</v>
      </c>
      <c r="I52" s="293" t="s">
        <v>4623</v>
      </c>
      <c r="J52" s="293" t="s">
        <v>4623</v>
      </c>
      <c r="K52" s="290" t="s">
        <v>4623</v>
      </c>
      <c r="L52" s="290" t="s">
        <v>4623</v>
      </c>
      <c r="M52" s="290" t="s">
        <v>4623</v>
      </c>
      <c r="N52" s="290" t="s">
        <v>4623</v>
      </c>
      <c r="O52" s="290" t="s">
        <v>4623</v>
      </c>
      <c r="P52" s="290" t="s">
        <v>999</v>
      </c>
      <c r="Q52" s="291" t="s">
        <v>4623</v>
      </c>
      <c r="R52" s="276"/>
      <c r="S52" s="277">
        <f>IF(OR(C52="",C52=T$4),NA(),MATCH($B52&amp;$C52,'Smelter Reference List'!$J:$J,0))</f>
        <v>81</v>
      </c>
      <c r="T52" s="278"/>
      <c r="U52" s="278"/>
      <c r="V52" s="278"/>
      <c r="W52" s="278"/>
    </row>
    <row r="53" spans="1:23" s="269" customFormat="1" ht="20.25">
      <c r="A53" s="267"/>
      <c r="B53" s="275" t="s">
        <v>2436</v>
      </c>
      <c r="C53" s="275" t="s">
        <v>1900</v>
      </c>
      <c r="D53" s="168" t="s">
        <v>4701</v>
      </c>
      <c r="E53" s="168" t="s">
        <v>1825</v>
      </c>
      <c r="F53" s="168" t="s">
        <v>1371</v>
      </c>
      <c r="G53" s="168" t="s">
        <v>3324</v>
      </c>
      <c r="H53" s="292" t="s">
        <v>4623</v>
      </c>
      <c r="I53" s="293" t="s">
        <v>4623</v>
      </c>
      <c r="J53" s="293" t="s">
        <v>4623</v>
      </c>
      <c r="K53" s="290" t="s">
        <v>4623</v>
      </c>
      <c r="L53" s="290" t="s">
        <v>4623</v>
      </c>
      <c r="M53" s="290" t="s">
        <v>4623</v>
      </c>
      <c r="N53" s="290" t="s">
        <v>4623</v>
      </c>
      <c r="O53" s="290" t="s">
        <v>4645</v>
      </c>
      <c r="P53" s="290" t="s">
        <v>999</v>
      </c>
      <c r="Q53" s="291" t="s">
        <v>4623</v>
      </c>
      <c r="R53" s="276"/>
      <c r="S53" s="277">
        <f>IF(OR(C53="",C53=T$4),NA(),MATCH($B53&amp;$C53,'Smelter Reference List'!$J:$J,0))</f>
        <v>87</v>
      </c>
      <c r="T53" s="278"/>
      <c r="U53" s="278"/>
      <c r="V53" s="278"/>
      <c r="W53" s="278"/>
    </row>
    <row r="54" spans="1:23" s="269" customFormat="1" ht="20.25">
      <c r="A54" s="267"/>
      <c r="B54" s="275" t="s">
        <v>2436</v>
      </c>
      <c r="C54" s="275" t="s">
        <v>2869</v>
      </c>
      <c r="D54" s="168" t="s">
        <v>4702</v>
      </c>
      <c r="E54" s="168" t="s">
        <v>1825</v>
      </c>
      <c r="F54" s="168" t="s">
        <v>1372</v>
      </c>
      <c r="G54" s="168" t="s">
        <v>3324</v>
      </c>
      <c r="H54" s="292" t="s">
        <v>4623</v>
      </c>
      <c r="I54" s="293" t="s">
        <v>4623</v>
      </c>
      <c r="J54" s="293" t="s">
        <v>4623</v>
      </c>
      <c r="K54" s="290" t="s">
        <v>4623</v>
      </c>
      <c r="L54" s="290" t="s">
        <v>4703</v>
      </c>
      <c r="M54" s="290" t="s">
        <v>4623</v>
      </c>
      <c r="N54" s="290" t="s">
        <v>4623</v>
      </c>
      <c r="O54" s="290" t="s">
        <v>4623</v>
      </c>
      <c r="P54" s="290" t="s">
        <v>999</v>
      </c>
      <c r="Q54" s="291" t="s">
        <v>4623</v>
      </c>
      <c r="R54" s="276"/>
      <c r="S54" s="277">
        <f>IF(OR(C54="",C54=T$4),NA(),MATCH($B54&amp;$C54,'Smelter Reference List'!$J:$J,0))</f>
        <v>88</v>
      </c>
      <c r="T54" s="278"/>
      <c r="U54" s="278"/>
      <c r="V54" s="278"/>
      <c r="W54" s="278"/>
    </row>
    <row r="55" spans="1:23" s="269" customFormat="1" ht="20.25">
      <c r="A55" s="267"/>
      <c r="B55" s="275" t="s">
        <v>2436</v>
      </c>
      <c r="C55" s="275" t="s">
        <v>88</v>
      </c>
      <c r="D55" s="168" t="s">
        <v>4704</v>
      </c>
      <c r="E55" s="168" t="s">
        <v>2362</v>
      </c>
      <c r="F55" s="168" t="s">
        <v>1373</v>
      </c>
      <c r="G55" s="168" t="s">
        <v>3324</v>
      </c>
      <c r="H55" s="292" t="s">
        <v>4705</v>
      </c>
      <c r="I55" s="293" t="s">
        <v>3328</v>
      </c>
      <c r="J55" s="293" t="s">
        <v>4706</v>
      </c>
      <c r="K55" s="290" t="s">
        <v>4707</v>
      </c>
      <c r="L55" s="290" t="s">
        <v>4708</v>
      </c>
      <c r="M55" s="290" t="s">
        <v>4709</v>
      </c>
      <c r="N55" s="290" t="s">
        <v>4623</v>
      </c>
      <c r="O55" s="290" t="s">
        <v>4710</v>
      </c>
      <c r="P55" s="290" t="s">
        <v>999</v>
      </c>
      <c r="Q55" s="291" t="s">
        <v>4711</v>
      </c>
      <c r="R55" s="276"/>
      <c r="S55" s="277">
        <f>IF(OR(C55="",C55=T$4),NA(),MATCH($B55&amp;$C55,'Smelter Reference List'!$J:$J,0))</f>
        <v>89</v>
      </c>
      <c r="T55" s="278"/>
      <c r="U55" s="278"/>
      <c r="V55" s="278"/>
      <c r="W55" s="278"/>
    </row>
    <row r="56" spans="1:23" s="269" customFormat="1" ht="20.25">
      <c r="A56" s="267"/>
      <c r="B56" s="275" t="s">
        <v>2436</v>
      </c>
      <c r="C56" s="275" t="s">
        <v>4496</v>
      </c>
      <c r="D56" s="168" t="s">
        <v>4712</v>
      </c>
      <c r="E56" s="168" t="s">
        <v>2363</v>
      </c>
      <c r="F56" s="168" t="s">
        <v>4497</v>
      </c>
      <c r="G56" s="168" t="s">
        <v>3324</v>
      </c>
      <c r="H56" s="292" t="s">
        <v>4623</v>
      </c>
      <c r="I56" s="293" t="s">
        <v>4623</v>
      </c>
      <c r="J56" s="293" t="s">
        <v>4623</v>
      </c>
      <c r="K56" s="290" t="s">
        <v>4623</v>
      </c>
      <c r="L56" s="290" t="s">
        <v>4623</v>
      </c>
      <c r="M56" s="290" t="s">
        <v>4623</v>
      </c>
      <c r="N56" s="290" t="s">
        <v>4623</v>
      </c>
      <c r="O56" s="290" t="s">
        <v>4623</v>
      </c>
      <c r="P56" s="290" t="s">
        <v>999</v>
      </c>
      <c r="Q56" s="291" t="s">
        <v>4623</v>
      </c>
      <c r="R56" s="276"/>
      <c r="S56" s="277">
        <f>IF(OR(C56="",C56=T$4),NA(),MATCH($B56&amp;$C56,'Smelter Reference List'!$J:$J,0))</f>
        <v>91</v>
      </c>
      <c r="T56" s="278"/>
      <c r="U56" s="278"/>
      <c r="V56" s="278"/>
      <c r="W56" s="278"/>
    </row>
    <row r="57" spans="1:23" s="269" customFormat="1" ht="20.25">
      <c r="A57" s="267"/>
      <c r="B57" s="275" t="s">
        <v>2436</v>
      </c>
      <c r="C57" s="275" t="s">
        <v>3418</v>
      </c>
      <c r="D57" s="168" t="s">
        <v>3418</v>
      </c>
      <c r="E57" s="168" t="s">
        <v>2363</v>
      </c>
      <c r="F57" s="168" t="s">
        <v>1374</v>
      </c>
      <c r="G57" s="168" t="s">
        <v>3324</v>
      </c>
      <c r="H57" s="292" t="s">
        <v>4623</v>
      </c>
      <c r="I57" s="293" t="s">
        <v>4623</v>
      </c>
      <c r="J57" s="293" t="s">
        <v>4623</v>
      </c>
      <c r="K57" s="290" t="s">
        <v>4623</v>
      </c>
      <c r="L57" s="290" t="s">
        <v>4623</v>
      </c>
      <c r="M57" s="290" t="s">
        <v>4623</v>
      </c>
      <c r="N57" s="290" t="s">
        <v>4623</v>
      </c>
      <c r="O57" s="290" t="s">
        <v>4645</v>
      </c>
      <c r="P57" s="290" t="s">
        <v>999</v>
      </c>
      <c r="Q57" s="291" t="s">
        <v>4623</v>
      </c>
      <c r="R57" s="276"/>
      <c r="S57" s="277">
        <f>IF(OR(C57="",C57=T$4),NA(),MATCH($B57&amp;$C57,'Smelter Reference List'!$J:$J,0))</f>
        <v>92</v>
      </c>
      <c r="T57" s="278"/>
      <c r="U57" s="278"/>
      <c r="V57" s="278"/>
      <c r="W57" s="278"/>
    </row>
    <row r="58" spans="1:23" s="269" customFormat="1" ht="20.25">
      <c r="A58" s="267"/>
      <c r="B58" s="275" t="s">
        <v>2436</v>
      </c>
      <c r="C58" s="275" t="s">
        <v>1375</v>
      </c>
      <c r="D58" s="168" t="s">
        <v>4713</v>
      </c>
      <c r="E58" s="168" t="s">
        <v>1867</v>
      </c>
      <c r="F58" s="168" t="s">
        <v>1376</v>
      </c>
      <c r="G58" s="168" t="s">
        <v>4623</v>
      </c>
      <c r="H58" s="292" t="s">
        <v>4714</v>
      </c>
      <c r="I58" s="293" t="s">
        <v>4715</v>
      </c>
      <c r="J58" s="293" t="s">
        <v>4716</v>
      </c>
      <c r="K58" s="290" t="s">
        <v>4717</v>
      </c>
      <c r="L58" s="290" t="s">
        <v>4718</v>
      </c>
      <c r="M58" s="290" t="s">
        <v>4623</v>
      </c>
      <c r="N58" s="290" t="s">
        <v>4623</v>
      </c>
      <c r="O58" s="290" t="s">
        <v>4623</v>
      </c>
      <c r="P58" s="290" t="s">
        <v>999</v>
      </c>
      <c r="Q58" s="291" t="s">
        <v>4623</v>
      </c>
      <c r="R58" s="276"/>
      <c r="S58" s="277">
        <f>IF(OR(C58="",C58=T$4),NA(),MATCH($B58&amp;$C58,'Smelter Reference List'!$J:$J,0))</f>
        <v>93</v>
      </c>
      <c r="T58" s="278"/>
      <c r="U58" s="278"/>
      <c r="V58" s="278"/>
      <c r="W58" s="278"/>
    </row>
    <row r="59" spans="1:23" s="269" customFormat="1" ht="20.25">
      <c r="A59" s="267"/>
      <c r="B59" s="275" t="s">
        <v>2436</v>
      </c>
      <c r="C59" s="275" t="s">
        <v>2825</v>
      </c>
      <c r="D59" s="168" t="s">
        <v>4719</v>
      </c>
      <c r="E59" s="168" t="s">
        <v>1816</v>
      </c>
      <c r="F59" s="168" t="s">
        <v>2826</v>
      </c>
      <c r="G59" s="168" t="s">
        <v>3324</v>
      </c>
      <c r="H59" s="292" t="s">
        <v>4623</v>
      </c>
      <c r="I59" s="293" t="s">
        <v>4623</v>
      </c>
      <c r="J59" s="293" t="s">
        <v>4623</v>
      </c>
      <c r="K59" s="290" t="s">
        <v>4623</v>
      </c>
      <c r="L59" s="290" t="s">
        <v>4623</v>
      </c>
      <c r="M59" s="290" t="s">
        <v>4623</v>
      </c>
      <c r="N59" s="290" t="s">
        <v>4623</v>
      </c>
      <c r="O59" s="290" t="s">
        <v>4623</v>
      </c>
      <c r="P59" s="290" t="s">
        <v>999</v>
      </c>
      <c r="Q59" s="291" t="s">
        <v>4623</v>
      </c>
      <c r="R59" s="276"/>
      <c r="S59" s="277">
        <f>IF(OR(C59="",C59=T$4),NA(),MATCH($B59&amp;$C59,'Smelter Reference List'!$J:$J,0))</f>
        <v>94</v>
      </c>
      <c r="T59" s="278"/>
      <c r="U59" s="278"/>
      <c r="V59" s="278"/>
      <c r="W59" s="278"/>
    </row>
    <row r="60" spans="1:23" s="269" customFormat="1" ht="20.25">
      <c r="A60" s="267"/>
      <c r="B60" s="275" t="s">
        <v>2436</v>
      </c>
      <c r="C60" s="275" t="s">
        <v>4406</v>
      </c>
      <c r="D60" s="168" t="s">
        <v>4720</v>
      </c>
      <c r="E60" s="168" t="s">
        <v>2362</v>
      </c>
      <c r="F60" s="168" t="s">
        <v>1377</v>
      </c>
      <c r="G60" s="168" t="s">
        <v>3324</v>
      </c>
      <c r="H60" s="292" t="s">
        <v>4721</v>
      </c>
      <c r="I60" s="293" t="s">
        <v>4722</v>
      </c>
      <c r="J60" s="293" t="s">
        <v>4723</v>
      </c>
      <c r="K60" s="290" t="s">
        <v>4724</v>
      </c>
      <c r="L60" s="290" t="s">
        <v>4725</v>
      </c>
      <c r="M60" s="290" t="s">
        <v>4623</v>
      </c>
      <c r="N60" s="290" t="s">
        <v>4628</v>
      </c>
      <c r="O60" s="290" t="s">
        <v>4726</v>
      </c>
      <c r="P60" s="290" t="s">
        <v>999</v>
      </c>
      <c r="Q60" s="291" t="s">
        <v>4623</v>
      </c>
      <c r="R60" s="276"/>
      <c r="S60" s="277">
        <f>IF(OR(C60="",C60=T$4),NA(),MATCH($B60&amp;$C60,'Smelter Reference List'!$J:$J,0))</f>
        <v>95</v>
      </c>
      <c r="T60" s="278"/>
      <c r="U60" s="278"/>
      <c r="V60" s="278"/>
      <c r="W60" s="278"/>
    </row>
    <row r="61" spans="1:23" s="269" customFormat="1" ht="20.25">
      <c r="A61" s="267"/>
      <c r="B61" s="275" t="s">
        <v>2436</v>
      </c>
      <c r="C61" s="275" t="s">
        <v>1619</v>
      </c>
      <c r="D61" s="168" t="s">
        <v>4727</v>
      </c>
      <c r="E61" s="168" t="s">
        <v>2365</v>
      </c>
      <c r="F61" s="168" t="s">
        <v>1379</v>
      </c>
      <c r="G61" s="168" t="s">
        <v>3324</v>
      </c>
      <c r="H61" s="292" t="s">
        <v>4623</v>
      </c>
      <c r="I61" s="293" t="s">
        <v>4623</v>
      </c>
      <c r="J61" s="293" t="s">
        <v>4623</v>
      </c>
      <c r="K61" s="290" t="s">
        <v>4623</v>
      </c>
      <c r="L61" s="290" t="s">
        <v>4623</v>
      </c>
      <c r="M61" s="290" t="s">
        <v>4623</v>
      </c>
      <c r="N61" s="290" t="s">
        <v>4623</v>
      </c>
      <c r="O61" s="290" t="s">
        <v>4728</v>
      </c>
      <c r="P61" s="290" t="s">
        <v>999</v>
      </c>
      <c r="Q61" s="291" t="s">
        <v>4623</v>
      </c>
      <c r="R61" s="276"/>
      <c r="S61" s="277">
        <f>IF(OR(C61="",C61=T$4),NA(),MATCH($B61&amp;$C61,'Smelter Reference List'!$J:$J,0))</f>
        <v>100</v>
      </c>
      <c r="T61" s="278"/>
      <c r="U61" s="278"/>
      <c r="V61" s="278"/>
      <c r="W61" s="278"/>
    </row>
    <row r="62" spans="1:23" s="269" customFormat="1" ht="20.25">
      <c r="A62" s="267"/>
      <c r="B62" s="275" t="s">
        <v>2436</v>
      </c>
      <c r="C62" s="275" t="s">
        <v>1278</v>
      </c>
      <c r="D62" s="168" t="s">
        <v>4729</v>
      </c>
      <c r="E62" s="168" t="s">
        <v>1827</v>
      </c>
      <c r="F62" s="168" t="s">
        <v>1380</v>
      </c>
      <c r="G62" s="168" t="s">
        <v>3324</v>
      </c>
      <c r="H62" s="292" t="s">
        <v>4623</v>
      </c>
      <c r="I62" s="293" t="s">
        <v>4623</v>
      </c>
      <c r="J62" s="293" t="s">
        <v>4623</v>
      </c>
      <c r="K62" s="290" t="s">
        <v>4623</v>
      </c>
      <c r="L62" s="290" t="s">
        <v>4623</v>
      </c>
      <c r="M62" s="290" t="s">
        <v>4623</v>
      </c>
      <c r="N62" s="290" t="s">
        <v>4623</v>
      </c>
      <c r="O62" s="290" t="s">
        <v>1005</v>
      </c>
      <c r="P62" s="290" t="s">
        <v>999</v>
      </c>
      <c r="Q62" s="291" t="s">
        <v>4623</v>
      </c>
      <c r="R62" s="276"/>
      <c r="S62" s="277">
        <f>IF(OR(C62="",C62=T$4),NA(),MATCH($B62&amp;$C62,'Smelter Reference List'!$J:$J,0))</f>
        <v>101</v>
      </c>
      <c r="T62" s="278"/>
      <c r="U62" s="278"/>
      <c r="V62" s="278"/>
      <c r="W62" s="278"/>
    </row>
    <row r="63" spans="1:23" s="269" customFormat="1" ht="20.25">
      <c r="A63" s="267"/>
      <c r="B63" s="275" t="s">
        <v>2436</v>
      </c>
      <c r="C63" s="275" t="s">
        <v>2827</v>
      </c>
      <c r="D63" s="168" t="s">
        <v>2827</v>
      </c>
      <c r="E63" s="168" t="s">
        <v>2294</v>
      </c>
      <c r="F63" s="168" t="s">
        <v>2828</v>
      </c>
      <c r="G63" s="168" t="s">
        <v>3324</v>
      </c>
      <c r="H63" s="292" t="s">
        <v>3430</v>
      </c>
      <c r="I63" s="293" t="s">
        <v>3431</v>
      </c>
      <c r="J63" s="293" t="s">
        <v>4623</v>
      </c>
      <c r="K63" s="290" t="s">
        <v>4730</v>
      </c>
      <c r="L63" s="290" t="s">
        <v>4731</v>
      </c>
      <c r="M63" s="290" t="s">
        <v>4623</v>
      </c>
      <c r="N63" s="290" t="s">
        <v>4623</v>
      </c>
      <c r="O63" s="290" t="s">
        <v>4667</v>
      </c>
      <c r="P63" s="290" t="s">
        <v>999</v>
      </c>
      <c r="Q63" s="291" t="s">
        <v>4623</v>
      </c>
      <c r="R63" s="276"/>
      <c r="S63" s="277">
        <f>IF(OR(C63="",C63=T$4),NA(),MATCH($B63&amp;$C63,'Smelter Reference List'!$J:$J,0))</f>
        <v>104</v>
      </c>
      <c r="T63" s="278"/>
      <c r="U63" s="278"/>
      <c r="V63" s="278"/>
      <c r="W63" s="278"/>
    </row>
    <row r="64" spans="1:23" s="269" customFormat="1" ht="20.25">
      <c r="A64" s="267"/>
      <c r="B64" s="275" t="s">
        <v>2436</v>
      </c>
      <c r="C64" s="275" t="s">
        <v>4408</v>
      </c>
      <c r="D64" s="168" t="s">
        <v>4408</v>
      </c>
      <c r="E64" s="168" t="s">
        <v>2294</v>
      </c>
      <c r="F64" s="168" t="s">
        <v>1381</v>
      </c>
      <c r="G64" s="168" t="s">
        <v>3324</v>
      </c>
      <c r="H64" s="292" t="s">
        <v>4732</v>
      </c>
      <c r="I64" s="293" t="s">
        <v>4623</v>
      </c>
      <c r="J64" s="293" t="s">
        <v>4623</v>
      </c>
      <c r="K64" s="290" t="s">
        <v>4733</v>
      </c>
      <c r="L64" s="290" t="s">
        <v>4623</v>
      </c>
      <c r="M64" s="290" t="s">
        <v>4623</v>
      </c>
      <c r="N64" s="290" t="s">
        <v>4623</v>
      </c>
      <c r="O64" s="290" t="s">
        <v>4623</v>
      </c>
      <c r="P64" s="290" t="s">
        <v>999</v>
      </c>
      <c r="Q64" s="291" t="s">
        <v>4623</v>
      </c>
      <c r="R64" s="276"/>
      <c r="S64" s="277">
        <f>IF(OR(C64="",C64=T$4),NA(),MATCH($B64&amp;$C64,'Smelter Reference List'!$J:$J,0))</f>
        <v>105</v>
      </c>
      <c r="T64" s="278"/>
      <c r="U64" s="278"/>
      <c r="V64" s="278"/>
      <c r="W64" s="278"/>
    </row>
    <row r="65" spans="1:23" s="269" customFormat="1" ht="20.25">
      <c r="A65" s="267"/>
      <c r="B65" s="275" t="s">
        <v>2436</v>
      </c>
      <c r="C65" s="275" t="s">
        <v>89</v>
      </c>
      <c r="D65" s="168" t="s">
        <v>4734</v>
      </c>
      <c r="E65" s="168" t="s">
        <v>2293</v>
      </c>
      <c r="F65" s="168" t="s">
        <v>1382</v>
      </c>
      <c r="G65" s="168" t="s">
        <v>4623</v>
      </c>
      <c r="H65" s="292" t="s">
        <v>4735</v>
      </c>
      <c r="I65" s="293" t="s">
        <v>3433</v>
      </c>
      <c r="J65" s="293" t="s">
        <v>4736</v>
      </c>
      <c r="K65" s="290" t="s">
        <v>4737</v>
      </c>
      <c r="L65" s="290" t="s">
        <v>4738</v>
      </c>
      <c r="M65" s="290" t="s">
        <v>4623</v>
      </c>
      <c r="N65" s="290" t="s">
        <v>4739</v>
      </c>
      <c r="O65" s="290" t="s">
        <v>4740</v>
      </c>
      <c r="P65" s="290" t="s">
        <v>999</v>
      </c>
      <c r="Q65" s="291" t="s">
        <v>4623</v>
      </c>
      <c r="R65" s="276"/>
      <c r="S65" s="277">
        <f>IF(OR(C65="",C65=T$4),NA(),MATCH($B65&amp;$C65,'Smelter Reference List'!$J:$J,0))</f>
        <v>106</v>
      </c>
      <c r="T65" s="278"/>
      <c r="U65" s="278"/>
      <c r="V65" s="278"/>
      <c r="W65" s="278"/>
    </row>
    <row r="66" spans="1:23" s="269" customFormat="1" ht="20.25">
      <c r="A66" s="267"/>
      <c r="B66" s="275" t="s">
        <v>2436</v>
      </c>
      <c r="C66" s="275" t="s">
        <v>3434</v>
      </c>
      <c r="D66" s="168" t="s">
        <v>4741</v>
      </c>
      <c r="E66" s="168" t="s">
        <v>2294</v>
      </c>
      <c r="F66" s="168" t="s">
        <v>1384</v>
      </c>
      <c r="G66" s="168" t="s">
        <v>3324</v>
      </c>
      <c r="H66" s="292" t="s">
        <v>4742</v>
      </c>
      <c r="I66" s="293" t="s">
        <v>4743</v>
      </c>
      <c r="J66" s="293" t="s">
        <v>4623</v>
      </c>
      <c r="K66" s="290" t="s">
        <v>4744</v>
      </c>
      <c r="L66" s="290" t="s">
        <v>4745</v>
      </c>
      <c r="M66" s="290" t="s">
        <v>4623</v>
      </c>
      <c r="N66" s="290" t="s">
        <v>4623</v>
      </c>
      <c r="O66" s="290" t="s">
        <v>4623</v>
      </c>
      <c r="P66" s="290" t="s">
        <v>999</v>
      </c>
      <c r="Q66" s="291" t="s">
        <v>4623</v>
      </c>
      <c r="R66" s="276"/>
      <c r="S66" s="277">
        <f>IF(OR(C66="",C66=T$4),NA(),MATCH($B66&amp;$C66,'Smelter Reference List'!$J:$J,0))</f>
        <v>107</v>
      </c>
      <c r="T66" s="278"/>
      <c r="U66" s="278"/>
      <c r="V66" s="278"/>
      <c r="W66" s="278"/>
    </row>
    <row r="67" spans="1:23" s="269" customFormat="1" ht="20.25">
      <c r="A67" s="267"/>
      <c r="B67" s="275" t="s">
        <v>2436</v>
      </c>
      <c r="C67" s="275" t="s">
        <v>1901</v>
      </c>
      <c r="D67" s="168" t="s">
        <v>4746</v>
      </c>
      <c r="E67" s="168" t="s">
        <v>1867</v>
      </c>
      <c r="F67" s="168" t="s">
        <v>1385</v>
      </c>
      <c r="G67" s="168" t="s">
        <v>4623</v>
      </c>
      <c r="H67" s="292" t="s">
        <v>4747</v>
      </c>
      <c r="I67" s="293" t="s">
        <v>4623</v>
      </c>
      <c r="J67" s="293" t="s">
        <v>4623</v>
      </c>
      <c r="K67" s="290" t="s">
        <v>4748</v>
      </c>
      <c r="L67" s="290" t="s">
        <v>4749</v>
      </c>
      <c r="M67" s="290" t="s">
        <v>4623</v>
      </c>
      <c r="N67" s="290" t="s">
        <v>4628</v>
      </c>
      <c r="O67" s="290" t="s">
        <v>4628</v>
      </c>
      <c r="P67" s="290" t="s">
        <v>999</v>
      </c>
      <c r="Q67" s="291" t="s">
        <v>4623</v>
      </c>
      <c r="R67" s="276"/>
      <c r="S67" s="277">
        <f>IF(OR(C67="",C67=T$4),NA(),MATCH($B67&amp;$C67,'Smelter Reference List'!$J:$J,0))</f>
        <v>110</v>
      </c>
      <c r="T67" s="278"/>
      <c r="U67" s="278"/>
      <c r="V67" s="278"/>
      <c r="W67" s="278"/>
    </row>
    <row r="68" spans="1:23" s="269" customFormat="1" ht="20.25">
      <c r="A68" s="267"/>
      <c r="B68" s="275" t="s">
        <v>2436</v>
      </c>
      <c r="C68" s="275" t="s">
        <v>90</v>
      </c>
      <c r="D68" s="168" t="s">
        <v>4750</v>
      </c>
      <c r="E68" s="168" t="s">
        <v>2362</v>
      </c>
      <c r="F68" s="168" t="s">
        <v>1386</v>
      </c>
      <c r="G68" s="168" t="s">
        <v>4623</v>
      </c>
      <c r="H68" s="292" t="s">
        <v>4751</v>
      </c>
      <c r="I68" s="293" t="s">
        <v>3438</v>
      </c>
      <c r="J68" s="293" t="s">
        <v>3382</v>
      </c>
      <c r="K68" s="290" t="s">
        <v>4752</v>
      </c>
      <c r="L68" s="290" t="s">
        <v>4753</v>
      </c>
      <c r="M68" s="290" t="s">
        <v>4623</v>
      </c>
      <c r="N68" s="290" t="s">
        <v>4628</v>
      </c>
      <c r="O68" s="290" t="s">
        <v>4628</v>
      </c>
      <c r="P68" s="290" t="s">
        <v>999</v>
      </c>
      <c r="Q68" s="291" t="s">
        <v>4623</v>
      </c>
      <c r="R68" s="276"/>
      <c r="S68" s="277">
        <f>IF(OR(C68="",C68=T$4),NA(),MATCH($B68&amp;$C68,'Smelter Reference List'!$J:$J,0))</f>
        <v>111</v>
      </c>
      <c r="T68" s="278"/>
      <c r="U68" s="278"/>
      <c r="V68" s="278"/>
      <c r="W68" s="278"/>
    </row>
    <row r="69" spans="1:23" s="269" customFormat="1" ht="20.25">
      <c r="A69" s="267"/>
      <c r="B69" s="275" t="s">
        <v>2436</v>
      </c>
      <c r="C69" s="275" t="s">
        <v>50</v>
      </c>
      <c r="D69" s="168" t="s">
        <v>93</v>
      </c>
      <c r="E69" s="168" t="s">
        <v>2362</v>
      </c>
      <c r="F69" s="168" t="s">
        <v>1418</v>
      </c>
      <c r="G69" s="168" t="s">
        <v>3324</v>
      </c>
      <c r="H69" s="292" t="s">
        <v>4754</v>
      </c>
      <c r="I69" s="293" t="s">
        <v>4623</v>
      </c>
      <c r="J69" s="293" t="s">
        <v>4623</v>
      </c>
      <c r="K69" s="290" t="s">
        <v>4623</v>
      </c>
      <c r="L69" s="290" t="s">
        <v>4623</v>
      </c>
      <c r="M69" s="290" t="s">
        <v>4623</v>
      </c>
      <c r="N69" s="290" t="s">
        <v>4623</v>
      </c>
      <c r="O69" s="290" t="s">
        <v>4623</v>
      </c>
      <c r="P69" s="290" t="s">
        <v>999</v>
      </c>
      <c r="Q69" s="291" t="s">
        <v>4623</v>
      </c>
      <c r="R69" s="276"/>
      <c r="S69" s="277">
        <f>IF(OR(C69="",C69=T$4),NA(),MATCH($B69&amp;$C69,'Smelter Reference List'!$J:$J,0))</f>
        <v>112</v>
      </c>
      <c r="T69" s="278"/>
      <c r="U69" s="278"/>
      <c r="V69" s="278"/>
      <c r="W69" s="278"/>
    </row>
    <row r="70" spans="1:23" s="269" customFormat="1" ht="20.25">
      <c r="A70" s="267"/>
      <c r="B70" s="275" t="s">
        <v>2436</v>
      </c>
      <c r="C70" s="275" t="s">
        <v>2492</v>
      </c>
      <c r="D70" s="168" t="s">
        <v>4755</v>
      </c>
      <c r="E70" s="168" t="s">
        <v>2292</v>
      </c>
      <c r="F70" s="168" t="s">
        <v>1389</v>
      </c>
      <c r="G70" s="168" t="s">
        <v>3324</v>
      </c>
      <c r="H70" s="292" t="s">
        <v>4623</v>
      </c>
      <c r="I70" s="293" t="s">
        <v>4623</v>
      </c>
      <c r="J70" s="293" t="s">
        <v>4623</v>
      </c>
      <c r="K70" s="290" t="s">
        <v>4623</v>
      </c>
      <c r="L70" s="290" t="s">
        <v>4623</v>
      </c>
      <c r="M70" s="290" t="s">
        <v>4623</v>
      </c>
      <c r="N70" s="290" t="s">
        <v>4623</v>
      </c>
      <c r="O70" s="290" t="s">
        <v>4756</v>
      </c>
      <c r="P70" s="290" t="s">
        <v>999</v>
      </c>
      <c r="Q70" s="291" t="s">
        <v>4623</v>
      </c>
      <c r="R70" s="276"/>
      <c r="S70" s="277">
        <f>IF(OR(C70="",C70=T$4),NA(),MATCH($B70&amp;$C70,'Smelter Reference List'!$J:$J,0))</f>
        <v>114</v>
      </c>
      <c r="T70" s="278"/>
      <c r="U70" s="278"/>
      <c r="V70" s="278"/>
      <c r="W70" s="278"/>
    </row>
    <row r="71" spans="1:23" s="269" customFormat="1" ht="20.25">
      <c r="A71" s="267"/>
      <c r="B71" s="275" t="s">
        <v>2436</v>
      </c>
      <c r="C71" s="275" t="s">
        <v>4410</v>
      </c>
      <c r="D71" s="168" t="s">
        <v>4410</v>
      </c>
      <c r="E71" s="168" t="s">
        <v>2294</v>
      </c>
      <c r="F71" s="168" t="s">
        <v>1387</v>
      </c>
      <c r="G71" s="168" t="s">
        <v>3324</v>
      </c>
      <c r="H71" s="292" t="s">
        <v>4757</v>
      </c>
      <c r="I71" s="293" t="s">
        <v>3395</v>
      </c>
      <c r="J71" s="293" t="s">
        <v>4667</v>
      </c>
      <c r="K71" s="290" t="s">
        <v>4758</v>
      </c>
      <c r="L71" s="290" t="s">
        <v>4759</v>
      </c>
      <c r="M71" s="290" t="s">
        <v>4623</v>
      </c>
      <c r="N71" s="290" t="s">
        <v>4623</v>
      </c>
      <c r="O71" s="290" t="s">
        <v>4623</v>
      </c>
      <c r="P71" s="290" t="s">
        <v>999</v>
      </c>
      <c r="Q71" s="291" t="s">
        <v>4760</v>
      </c>
      <c r="R71" s="276"/>
      <c r="S71" s="277">
        <f>IF(OR(C71="",C71=T$4),NA(),MATCH($B71&amp;$C71,'Smelter Reference List'!$J:$J,0))</f>
        <v>115</v>
      </c>
      <c r="T71" s="278"/>
      <c r="U71" s="278"/>
      <c r="V71" s="278"/>
      <c r="W71" s="278"/>
    </row>
    <row r="72" spans="1:23" s="269" customFormat="1" ht="20.25">
      <c r="A72" s="267"/>
      <c r="B72" s="275" t="s">
        <v>2436</v>
      </c>
      <c r="C72" s="275" t="s">
        <v>4411</v>
      </c>
      <c r="D72" s="168" t="s">
        <v>4761</v>
      </c>
      <c r="E72" s="168" t="s">
        <v>1830</v>
      </c>
      <c r="F72" s="168" t="s">
        <v>1388</v>
      </c>
      <c r="G72" s="168" t="s">
        <v>3324</v>
      </c>
      <c r="H72" s="292" t="s">
        <v>4762</v>
      </c>
      <c r="I72" s="293" t="s">
        <v>4623</v>
      </c>
      <c r="J72" s="293" t="s">
        <v>4623</v>
      </c>
      <c r="K72" s="290" t="s">
        <v>4763</v>
      </c>
      <c r="L72" s="290" t="s">
        <v>4764</v>
      </c>
      <c r="M72" s="290" t="s">
        <v>4623</v>
      </c>
      <c r="N72" s="290" t="s">
        <v>4623</v>
      </c>
      <c r="O72" s="290" t="s">
        <v>4623</v>
      </c>
      <c r="P72" s="290" t="s">
        <v>999</v>
      </c>
      <c r="Q72" s="291" t="s">
        <v>4623</v>
      </c>
      <c r="R72" s="276"/>
      <c r="S72" s="277">
        <f>IF(OR(C72="",C72=T$4),NA(),MATCH($B72&amp;$C72,'Smelter Reference List'!$J:$J,0))</f>
        <v>116</v>
      </c>
      <c r="T72" s="278"/>
      <c r="U72" s="278"/>
      <c r="V72" s="278"/>
      <c r="W72" s="278"/>
    </row>
    <row r="73" spans="1:23" s="269" customFormat="1" ht="20.25">
      <c r="A73" s="267"/>
      <c r="B73" s="275" t="s">
        <v>2436</v>
      </c>
      <c r="C73" s="275" t="s">
        <v>3439</v>
      </c>
      <c r="D73" s="168" t="s">
        <v>3439</v>
      </c>
      <c r="E73" s="168" t="s">
        <v>2294</v>
      </c>
      <c r="F73" s="168" t="s">
        <v>3440</v>
      </c>
      <c r="G73" s="168" t="s">
        <v>4623</v>
      </c>
      <c r="H73" s="292" t="s">
        <v>4765</v>
      </c>
      <c r="I73" s="293" t="s">
        <v>4766</v>
      </c>
      <c r="J73" s="293" t="s">
        <v>4767</v>
      </c>
      <c r="K73" s="290" t="s">
        <v>4768</v>
      </c>
      <c r="L73" s="290" t="s">
        <v>4769</v>
      </c>
      <c r="M73" s="290" t="s">
        <v>4667</v>
      </c>
      <c r="N73" s="290" t="s">
        <v>4667</v>
      </c>
      <c r="O73" s="290" t="s">
        <v>4770</v>
      </c>
      <c r="P73" s="290" t="s">
        <v>999</v>
      </c>
      <c r="Q73" s="291" t="s">
        <v>4623</v>
      </c>
      <c r="R73" s="276"/>
      <c r="S73" s="277">
        <f>IF(OR(C73="",C73=T$4),NA(),MATCH($B73&amp;$C73,'Smelter Reference List'!$J:$J,0))</f>
        <v>117</v>
      </c>
      <c r="T73" s="278"/>
      <c r="U73" s="278"/>
      <c r="V73" s="278"/>
      <c r="W73" s="278"/>
    </row>
    <row r="74" spans="1:23" s="269" customFormat="1" ht="20.25">
      <c r="A74" s="267"/>
      <c r="B74" s="275" t="s">
        <v>2436</v>
      </c>
      <c r="C74" s="275" t="s">
        <v>2570</v>
      </c>
      <c r="D74" s="168" t="s">
        <v>4771</v>
      </c>
      <c r="E74" s="168" t="s">
        <v>1867</v>
      </c>
      <c r="F74" s="168" t="s">
        <v>1390</v>
      </c>
      <c r="G74" s="168" t="s">
        <v>3324</v>
      </c>
      <c r="H74" s="292" t="s">
        <v>4623</v>
      </c>
      <c r="I74" s="293" t="s">
        <v>4623</v>
      </c>
      <c r="J74" s="293" t="s">
        <v>4623</v>
      </c>
      <c r="K74" s="290" t="s">
        <v>4623</v>
      </c>
      <c r="L74" s="290" t="s">
        <v>4623</v>
      </c>
      <c r="M74" s="290" t="s">
        <v>4623</v>
      </c>
      <c r="N74" s="290" t="s">
        <v>4623</v>
      </c>
      <c r="O74" s="290" t="s">
        <v>4645</v>
      </c>
      <c r="P74" s="290" t="s">
        <v>999</v>
      </c>
      <c r="Q74" s="291" t="s">
        <v>4623</v>
      </c>
      <c r="R74" s="276"/>
      <c r="S74" s="277">
        <f>IF(OR(C74="",C74=T$4),NA(),MATCH($B74&amp;$C74,'Smelter Reference List'!$J:$J,0))</f>
        <v>119</v>
      </c>
      <c r="T74" s="278"/>
      <c r="U74" s="278"/>
      <c r="V74" s="278"/>
      <c r="W74" s="278"/>
    </row>
    <row r="75" spans="1:23" s="269" customFormat="1" ht="20.25">
      <c r="A75" s="267"/>
      <c r="B75" s="275" t="s">
        <v>2436</v>
      </c>
      <c r="C75" s="275" t="s">
        <v>2484</v>
      </c>
      <c r="D75" s="168" t="s">
        <v>2484</v>
      </c>
      <c r="E75" s="168" t="s">
        <v>2362</v>
      </c>
      <c r="F75" s="168" t="s">
        <v>1392</v>
      </c>
      <c r="G75" s="168" t="s">
        <v>3324</v>
      </c>
      <c r="H75" s="292" t="s">
        <v>4772</v>
      </c>
      <c r="I75" s="293" t="s">
        <v>4773</v>
      </c>
      <c r="J75" s="293" t="s">
        <v>3341</v>
      </c>
      <c r="K75" s="290" t="s">
        <v>4623</v>
      </c>
      <c r="L75" s="290" t="s">
        <v>4774</v>
      </c>
      <c r="M75" s="290" t="s">
        <v>4623</v>
      </c>
      <c r="N75" s="290" t="s">
        <v>4628</v>
      </c>
      <c r="O75" s="290" t="s">
        <v>4628</v>
      </c>
      <c r="P75" s="290" t="s">
        <v>999</v>
      </c>
      <c r="Q75" s="291" t="s">
        <v>4623</v>
      </c>
      <c r="R75" s="276"/>
      <c r="S75" s="277">
        <f>IF(OR(C75="",C75=T$4),NA(),MATCH($B75&amp;$C75,'Smelter Reference List'!$J:$J,0))</f>
        <v>122</v>
      </c>
      <c r="T75" s="278"/>
      <c r="U75" s="278"/>
      <c r="V75" s="278"/>
      <c r="W75" s="278"/>
    </row>
    <row r="76" spans="1:23" s="269" customFormat="1" ht="20.25">
      <c r="A76" s="267"/>
      <c r="B76" s="275" t="s">
        <v>2436</v>
      </c>
      <c r="C76" s="275" t="s">
        <v>2571</v>
      </c>
      <c r="D76" s="168" t="s">
        <v>4775</v>
      </c>
      <c r="E76" s="168" t="s">
        <v>2362</v>
      </c>
      <c r="F76" s="168" t="s">
        <v>1393</v>
      </c>
      <c r="G76" s="168" t="s">
        <v>3324</v>
      </c>
      <c r="H76" s="292" t="s">
        <v>4623</v>
      </c>
      <c r="I76" s="293" t="s">
        <v>4623</v>
      </c>
      <c r="J76" s="293" t="s">
        <v>4623</v>
      </c>
      <c r="K76" s="290" t="s">
        <v>4623</v>
      </c>
      <c r="L76" s="290" t="s">
        <v>4623</v>
      </c>
      <c r="M76" s="290" t="s">
        <v>4623</v>
      </c>
      <c r="N76" s="290" t="s">
        <v>4623</v>
      </c>
      <c r="O76" s="290" t="s">
        <v>4623</v>
      </c>
      <c r="P76" s="290" t="s">
        <v>999</v>
      </c>
      <c r="Q76" s="291" t="s">
        <v>4623</v>
      </c>
      <c r="R76" s="276"/>
      <c r="S76" s="277">
        <f>IF(OR(C76="",C76=T$4),NA(),MATCH($B76&amp;$C76,'Smelter Reference List'!$J:$J,0))</f>
        <v>124</v>
      </c>
      <c r="T76" s="278"/>
      <c r="U76" s="278"/>
      <c r="V76" s="278"/>
      <c r="W76" s="278"/>
    </row>
    <row r="77" spans="1:23" s="269" customFormat="1" ht="20.25">
      <c r="A77" s="267"/>
      <c r="B77" s="275" t="s">
        <v>2436</v>
      </c>
      <c r="C77" s="275" t="s">
        <v>4439</v>
      </c>
      <c r="D77" s="168" t="s">
        <v>4776</v>
      </c>
      <c r="E77" s="168" t="s">
        <v>2352</v>
      </c>
      <c r="F77" s="168" t="s">
        <v>2829</v>
      </c>
      <c r="G77" s="168" t="s">
        <v>3324</v>
      </c>
      <c r="H77" s="292" t="s">
        <v>4623</v>
      </c>
      <c r="I77" s="293" t="s">
        <v>4623</v>
      </c>
      <c r="J77" s="293" t="s">
        <v>4623</v>
      </c>
      <c r="K77" s="290" t="s">
        <v>4623</v>
      </c>
      <c r="L77" s="290" t="s">
        <v>4623</v>
      </c>
      <c r="M77" s="290" t="s">
        <v>4623</v>
      </c>
      <c r="N77" s="290" t="s">
        <v>4623</v>
      </c>
      <c r="O77" s="290" t="s">
        <v>4623</v>
      </c>
      <c r="P77" s="290" t="s">
        <v>999</v>
      </c>
      <c r="Q77" s="291" t="s">
        <v>4623</v>
      </c>
      <c r="R77" s="276"/>
      <c r="S77" s="277">
        <f>IF(OR(C77="",C77=T$4),NA(),MATCH($B77&amp;$C77,'Smelter Reference List'!$J:$J,0))</f>
        <v>125</v>
      </c>
      <c r="T77" s="278"/>
      <c r="U77" s="278"/>
      <c r="V77" s="278"/>
      <c r="W77" s="278"/>
    </row>
    <row r="78" spans="1:23" s="269" customFormat="1" ht="20.25">
      <c r="A78" s="267"/>
      <c r="B78" s="275" t="s">
        <v>2436</v>
      </c>
      <c r="C78" s="275" t="s">
        <v>4532</v>
      </c>
      <c r="D78" s="168" t="s">
        <v>4777</v>
      </c>
      <c r="E78" s="168" t="s">
        <v>2415</v>
      </c>
      <c r="F78" s="168" t="s">
        <v>4534</v>
      </c>
      <c r="G78" s="168" t="s">
        <v>3324</v>
      </c>
      <c r="H78" s="292" t="s">
        <v>4623</v>
      </c>
      <c r="I78" s="293" t="s">
        <v>4623</v>
      </c>
      <c r="J78" s="293" t="s">
        <v>4623</v>
      </c>
      <c r="K78" s="290" t="s">
        <v>4623</v>
      </c>
      <c r="L78" s="290" t="s">
        <v>4623</v>
      </c>
      <c r="M78" s="290" t="s">
        <v>4623</v>
      </c>
      <c r="N78" s="290" t="s">
        <v>4623</v>
      </c>
      <c r="O78" s="290" t="s">
        <v>4623</v>
      </c>
      <c r="P78" s="290" t="s">
        <v>999</v>
      </c>
      <c r="Q78" s="291" t="s">
        <v>4623</v>
      </c>
      <c r="R78" s="276"/>
      <c r="S78" s="277">
        <f>IF(OR(C78="",C78=T$4),NA(),MATCH($B78&amp;$C78,'Smelter Reference List'!$J:$J,0))</f>
        <v>126</v>
      </c>
      <c r="T78" s="278"/>
      <c r="U78" s="278"/>
      <c r="V78" s="278"/>
      <c r="W78" s="278"/>
    </row>
    <row r="79" spans="1:23" s="269" customFormat="1" ht="20.25">
      <c r="A79" s="267"/>
      <c r="B79" s="275" t="s">
        <v>2436</v>
      </c>
      <c r="C79" s="275" t="s">
        <v>1902</v>
      </c>
      <c r="D79" s="168" t="s">
        <v>1902</v>
      </c>
      <c r="E79" s="168" t="s">
        <v>1825</v>
      </c>
      <c r="F79" s="168" t="s">
        <v>1394</v>
      </c>
      <c r="G79" s="168" t="s">
        <v>3324</v>
      </c>
      <c r="H79" s="292" t="s">
        <v>4623</v>
      </c>
      <c r="I79" s="293" t="s">
        <v>4623</v>
      </c>
      <c r="J79" s="293" t="s">
        <v>4623</v>
      </c>
      <c r="K79" s="290" t="s">
        <v>4623</v>
      </c>
      <c r="L79" s="290" t="s">
        <v>4623</v>
      </c>
      <c r="M79" s="290" t="s">
        <v>4623</v>
      </c>
      <c r="N79" s="290" t="s">
        <v>4623</v>
      </c>
      <c r="O79" s="290" t="s">
        <v>4623</v>
      </c>
      <c r="P79" s="290" t="s">
        <v>999</v>
      </c>
      <c r="Q79" s="291" t="s">
        <v>4623</v>
      </c>
      <c r="R79" s="276"/>
      <c r="S79" s="277">
        <f>IF(OR(C79="",C79=T$4),NA(),MATCH($B79&amp;$C79,'Smelter Reference List'!$J:$J,0))</f>
        <v>127</v>
      </c>
      <c r="T79" s="278"/>
      <c r="U79" s="278"/>
      <c r="V79" s="278"/>
      <c r="W79" s="278"/>
    </row>
    <row r="80" spans="1:23" s="269" customFormat="1" ht="20.25">
      <c r="A80" s="267"/>
      <c r="B80" s="275" t="s">
        <v>2436</v>
      </c>
      <c r="C80" s="275" t="s">
        <v>2581</v>
      </c>
      <c r="D80" s="168" t="s">
        <v>2581</v>
      </c>
      <c r="E80" s="168" t="s">
        <v>1859</v>
      </c>
      <c r="F80" s="168" t="s">
        <v>1395</v>
      </c>
      <c r="G80" s="168" t="s">
        <v>3324</v>
      </c>
      <c r="H80" s="292" t="s">
        <v>4623</v>
      </c>
      <c r="I80" s="293" t="s">
        <v>4623</v>
      </c>
      <c r="J80" s="293" t="s">
        <v>4623</v>
      </c>
      <c r="K80" s="290" t="s">
        <v>4623</v>
      </c>
      <c r="L80" s="290" t="s">
        <v>4623</v>
      </c>
      <c r="M80" s="290" t="s">
        <v>4623</v>
      </c>
      <c r="N80" s="290" t="s">
        <v>4623</v>
      </c>
      <c r="O80" s="290" t="s">
        <v>4623</v>
      </c>
      <c r="P80" s="290" t="s">
        <v>999</v>
      </c>
      <c r="Q80" s="291" t="s">
        <v>4623</v>
      </c>
      <c r="R80" s="276"/>
      <c r="S80" s="277">
        <f>IF(OR(C80="",C80=T$4),NA(),MATCH($B80&amp;$C80,'Smelter Reference List'!$J:$J,0))</f>
        <v>128</v>
      </c>
      <c r="T80" s="278"/>
      <c r="U80" s="278"/>
      <c r="V80" s="278"/>
      <c r="W80" s="278"/>
    </row>
    <row r="81" spans="1:23" s="269" customFormat="1" ht="20.25">
      <c r="A81" s="267"/>
      <c r="B81" s="275" t="s">
        <v>2436</v>
      </c>
      <c r="C81" s="275" t="s">
        <v>2572</v>
      </c>
      <c r="D81" s="168" t="s">
        <v>4778</v>
      </c>
      <c r="E81" s="168" t="s">
        <v>1868</v>
      </c>
      <c r="F81" s="168" t="s">
        <v>1396</v>
      </c>
      <c r="G81" s="168" t="s">
        <v>4623</v>
      </c>
      <c r="H81" s="292" t="s">
        <v>4779</v>
      </c>
      <c r="I81" s="293" t="s">
        <v>4623</v>
      </c>
      <c r="J81" s="293" t="s">
        <v>4623</v>
      </c>
      <c r="K81" s="290" t="s">
        <v>4623</v>
      </c>
      <c r="L81" s="290"/>
      <c r="M81" s="290" t="s">
        <v>4623</v>
      </c>
      <c r="N81" s="290" t="s">
        <v>4623</v>
      </c>
      <c r="O81" s="290" t="s">
        <v>4623</v>
      </c>
      <c r="P81" s="290" t="s">
        <v>999</v>
      </c>
      <c r="Q81" s="291" t="s">
        <v>4623</v>
      </c>
      <c r="R81" s="276"/>
      <c r="S81" s="277">
        <f>IF(OR(C81="",C81=T$4),NA(),MATCH($B81&amp;$C81,'Smelter Reference List'!$J:$J,0))</f>
        <v>129</v>
      </c>
      <c r="T81" s="278"/>
      <c r="U81" s="278"/>
      <c r="V81" s="278"/>
      <c r="W81" s="278"/>
    </row>
    <row r="82" spans="1:23" s="269" customFormat="1" ht="20.25">
      <c r="A82" s="267"/>
      <c r="B82" s="275" t="s">
        <v>2436</v>
      </c>
      <c r="C82" s="275" t="s">
        <v>4414</v>
      </c>
      <c r="D82" s="168" t="s">
        <v>4780</v>
      </c>
      <c r="E82" s="168" t="s">
        <v>2362</v>
      </c>
      <c r="F82" s="168" t="s">
        <v>1397</v>
      </c>
      <c r="G82" s="168" t="s">
        <v>4623</v>
      </c>
      <c r="H82" s="292" t="s">
        <v>4781</v>
      </c>
      <c r="I82" s="293" t="s">
        <v>3461</v>
      </c>
      <c r="J82" s="293" t="s">
        <v>3462</v>
      </c>
      <c r="K82" s="290" t="s">
        <v>4623</v>
      </c>
      <c r="L82" s="290" t="s">
        <v>4623</v>
      </c>
      <c r="M82" s="290" t="s">
        <v>4623</v>
      </c>
      <c r="N82" s="290" t="s">
        <v>4628</v>
      </c>
      <c r="O82" s="290" t="s">
        <v>4628</v>
      </c>
      <c r="P82" s="290" t="s">
        <v>999</v>
      </c>
      <c r="Q82" s="291" t="s">
        <v>4782</v>
      </c>
      <c r="R82" s="276"/>
      <c r="S82" s="277">
        <f>IF(OR(C82="",C82=T$4),NA(),MATCH($B82&amp;$C82,'Smelter Reference List'!$J:$J,0))</f>
        <v>130</v>
      </c>
      <c r="T82" s="278"/>
      <c r="U82" s="278"/>
      <c r="V82" s="278"/>
      <c r="W82" s="278"/>
    </row>
    <row r="83" spans="1:23" s="269" customFormat="1" ht="20.25">
      <c r="A83" s="267"/>
      <c r="B83" s="275" t="s">
        <v>2436</v>
      </c>
      <c r="C83" s="275" t="s">
        <v>4525</v>
      </c>
      <c r="D83" s="168" t="s">
        <v>4783</v>
      </c>
      <c r="E83" s="168" t="s">
        <v>2268</v>
      </c>
      <c r="F83" s="168" t="s">
        <v>4528</v>
      </c>
      <c r="G83" s="168" t="s">
        <v>3324</v>
      </c>
      <c r="H83" s="292" t="s">
        <v>4623</v>
      </c>
      <c r="I83" s="293" t="s">
        <v>4623</v>
      </c>
      <c r="J83" s="293" t="s">
        <v>4623</v>
      </c>
      <c r="K83" s="290" t="s">
        <v>4623</v>
      </c>
      <c r="L83" s="290" t="s">
        <v>4623</v>
      </c>
      <c r="M83" s="290" t="s">
        <v>4623</v>
      </c>
      <c r="N83" s="290" t="s">
        <v>4623</v>
      </c>
      <c r="O83" s="290" t="s">
        <v>4623</v>
      </c>
      <c r="P83" s="290" t="s">
        <v>999</v>
      </c>
      <c r="Q83" s="291" t="s">
        <v>4623</v>
      </c>
      <c r="R83" s="276"/>
      <c r="S83" s="277">
        <f>IF(OR(C83="",C83=T$4),NA(),MATCH($B83&amp;$C83,'Smelter Reference List'!$J:$J,0))</f>
        <v>132</v>
      </c>
      <c r="T83" s="278"/>
      <c r="U83" s="278"/>
      <c r="V83" s="278"/>
      <c r="W83" s="278"/>
    </row>
    <row r="84" spans="1:23" s="269" customFormat="1" ht="20.25">
      <c r="A84" s="267"/>
      <c r="B84" s="275" t="s">
        <v>2436</v>
      </c>
      <c r="C84" s="275" t="s">
        <v>91</v>
      </c>
      <c r="D84" s="168" t="s">
        <v>4784</v>
      </c>
      <c r="E84" s="168" t="s">
        <v>1867</v>
      </c>
      <c r="F84" s="168" t="s">
        <v>1398</v>
      </c>
      <c r="G84" s="168" t="s">
        <v>3324</v>
      </c>
      <c r="H84" s="292" t="s">
        <v>4623</v>
      </c>
      <c r="I84" s="293" t="s">
        <v>4623</v>
      </c>
      <c r="J84" s="293" t="s">
        <v>4623</v>
      </c>
      <c r="K84" s="290" t="s">
        <v>4623</v>
      </c>
      <c r="L84" s="290" t="s">
        <v>4623</v>
      </c>
      <c r="M84" s="290" t="s">
        <v>4623</v>
      </c>
      <c r="N84" s="290" t="s">
        <v>4623</v>
      </c>
      <c r="O84" s="290" t="s">
        <v>4644</v>
      </c>
      <c r="P84" s="290" t="s">
        <v>999</v>
      </c>
      <c r="Q84" s="291" t="s">
        <v>4623</v>
      </c>
      <c r="R84" s="276"/>
      <c r="S84" s="277">
        <f>IF(OR(C84="",C84=T$4),NA(),MATCH($B84&amp;$C84,'Smelter Reference List'!$J:$J,0))</f>
        <v>133</v>
      </c>
      <c r="T84" s="278"/>
      <c r="U84" s="278"/>
      <c r="V84" s="278"/>
      <c r="W84" s="278"/>
    </row>
    <row r="85" spans="1:23" s="269" customFormat="1" ht="20.25">
      <c r="A85" s="267"/>
      <c r="B85" s="275" t="s">
        <v>2436</v>
      </c>
      <c r="C85" s="275" t="s">
        <v>2578</v>
      </c>
      <c r="D85" s="168" t="s">
        <v>4785</v>
      </c>
      <c r="E85" s="168" t="s">
        <v>1825</v>
      </c>
      <c r="F85" s="168" t="s">
        <v>1401</v>
      </c>
      <c r="G85" s="168" t="s">
        <v>3324</v>
      </c>
      <c r="H85" s="292" t="s">
        <v>4623</v>
      </c>
      <c r="I85" s="293" t="s">
        <v>4623</v>
      </c>
      <c r="J85" s="293" t="s">
        <v>4623</v>
      </c>
      <c r="K85" s="290" t="s">
        <v>4623</v>
      </c>
      <c r="L85" s="290" t="s">
        <v>4623</v>
      </c>
      <c r="M85" s="290" t="s">
        <v>4623</v>
      </c>
      <c r="N85" s="290" t="s">
        <v>4623</v>
      </c>
      <c r="O85" s="290" t="s">
        <v>1005</v>
      </c>
      <c r="P85" s="290" t="s">
        <v>999</v>
      </c>
      <c r="Q85" s="291" t="s">
        <v>4623</v>
      </c>
      <c r="R85" s="276"/>
      <c r="S85" s="277">
        <f>IF(OR(C85="",C85=T$4),NA(),MATCH($B85&amp;$C85,'Smelter Reference List'!$J:$J,0))</f>
        <v>136</v>
      </c>
      <c r="T85" s="278"/>
      <c r="U85" s="278"/>
      <c r="V85" s="278"/>
      <c r="W85" s="278"/>
    </row>
    <row r="86" spans="1:23" s="269" customFormat="1" ht="20.25">
      <c r="A86" s="267"/>
      <c r="B86" s="275" t="s">
        <v>2436</v>
      </c>
      <c r="C86" s="275" t="s">
        <v>1903</v>
      </c>
      <c r="D86" s="168" t="s">
        <v>4786</v>
      </c>
      <c r="E86" s="168" t="s">
        <v>2292</v>
      </c>
      <c r="F86" s="168" t="s">
        <v>1402</v>
      </c>
      <c r="G86" s="168" t="s">
        <v>3324</v>
      </c>
      <c r="H86" s="292" t="s">
        <v>4623</v>
      </c>
      <c r="I86" s="293" t="s">
        <v>4623</v>
      </c>
      <c r="J86" s="293" t="s">
        <v>4623</v>
      </c>
      <c r="K86" s="290" t="s">
        <v>4623</v>
      </c>
      <c r="L86" s="290" t="s">
        <v>4623</v>
      </c>
      <c r="M86" s="290" t="s">
        <v>4623</v>
      </c>
      <c r="N86" s="290" t="s">
        <v>4623</v>
      </c>
      <c r="O86" s="290" t="s">
        <v>4787</v>
      </c>
      <c r="P86" s="290" t="s">
        <v>999</v>
      </c>
      <c r="Q86" s="291" t="s">
        <v>4623</v>
      </c>
      <c r="R86" s="276"/>
      <c r="S86" s="277">
        <f>IF(OR(C86="",C86=T$4),NA(),MATCH($B86&amp;$C86,'Smelter Reference List'!$J:$J,0))</f>
        <v>140</v>
      </c>
      <c r="T86" s="278"/>
      <c r="U86" s="278"/>
      <c r="V86" s="278"/>
      <c r="W86" s="278"/>
    </row>
    <row r="87" spans="1:23" s="269" customFormat="1" ht="20.25">
      <c r="A87" s="267"/>
      <c r="B87" s="275" t="s">
        <v>2436</v>
      </c>
      <c r="C87" s="275" t="s">
        <v>4416</v>
      </c>
      <c r="D87" s="168" t="s">
        <v>4788</v>
      </c>
      <c r="E87" s="168" t="s">
        <v>2294</v>
      </c>
      <c r="F87" s="168" t="s">
        <v>1403</v>
      </c>
      <c r="G87" s="168" t="s">
        <v>3324</v>
      </c>
      <c r="H87" s="292" t="s">
        <v>4789</v>
      </c>
      <c r="I87" s="293" t="s">
        <v>3474</v>
      </c>
      <c r="J87" s="293" t="s">
        <v>4623</v>
      </c>
      <c r="K87" s="290" t="s">
        <v>4623</v>
      </c>
      <c r="L87" s="290" t="s">
        <v>4623</v>
      </c>
      <c r="M87" s="290" t="s">
        <v>4623</v>
      </c>
      <c r="N87" s="290" t="s">
        <v>4623</v>
      </c>
      <c r="O87" s="290" t="s">
        <v>4623</v>
      </c>
      <c r="P87" s="290" t="s">
        <v>999</v>
      </c>
      <c r="Q87" s="291" t="s">
        <v>4623</v>
      </c>
      <c r="R87" s="276"/>
      <c r="S87" s="277">
        <f>IF(OR(C87="",C87=T$4),NA(),MATCH($B87&amp;$C87,'Smelter Reference List'!$J:$J,0))</f>
        <v>142</v>
      </c>
      <c r="T87" s="278"/>
      <c r="U87" s="278"/>
      <c r="V87" s="278"/>
      <c r="W87" s="278"/>
    </row>
    <row r="88" spans="1:23" s="269" customFormat="1" ht="20.25">
      <c r="A88" s="267"/>
      <c r="B88" s="275" t="s">
        <v>2436</v>
      </c>
      <c r="C88" s="275" t="s">
        <v>1904</v>
      </c>
      <c r="D88" s="168" t="s">
        <v>4790</v>
      </c>
      <c r="E88" s="168" t="s">
        <v>1825</v>
      </c>
      <c r="F88" s="168" t="s">
        <v>1404</v>
      </c>
      <c r="G88" s="168" t="s">
        <v>3324</v>
      </c>
      <c r="H88" s="292" t="s">
        <v>4623</v>
      </c>
      <c r="I88" s="293" t="s">
        <v>4623</v>
      </c>
      <c r="J88" s="293" t="s">
        <v>4623</v>
      </c>
      <c r="K88" s="290" t="s">
        <v>4623</v>
      </c>
      <c r="L88" s="290" t="s">
        <v>4623</v>
      </c>
      <c r="M88" s="290" t="s">
        <v>4623</v>
      </c>
      <c r="N88" s="290" t="s">
        <v>4623</v>
      </c>
      <c r="O88" s="290" t="s">
        <v>1005</v>
      </c>
      <c r="P88" s="290" t="s">
        <v>999</v>
      </c>
      <c r="Q88" s="291" t="s">
        <v>4623</v>
      </c>
      <c r="R88" s="276"/>
      <c r="S88" s="277">
        <f>IF(OR(C88="",C88=T$4),NA(),MATCH($B88&amp;$C88,'Smelter Reference List'!$J:$J,0))</f>
        <v>145</v>
      </c>
      <c r="T88" s="278"/>
      <c r="U88" s="278"/>
      <c r="V88" s="278"/>
      <c r="W88" s="278"/>
    </row>
    <row r="89" spans="1:23" s="269" customFormat="1" ht="20.25">
      <c r="A89" s="267"/>
      <c r="B89" s="275" t="s">
        <v>2436</v>
      </c>
      <c r="C89" s="275" t="s">
        <v>2573</v>
      </c>
      <c r="D89" s="168" t="s">
        <v>4791</v>
      </c>
      <c r="E89" s="168" t="s">
        <v>2351</v>
      </c>
      <c r="F89" s="168" t="s">
        <v>1405</v>
      </c>
      <c r="G89" s="168" t="s">
        <v>3324</v>
      </c>
      <c r="H89" s="292" t="s">
        <v>4623</v>
      </c>
      <c r="I89" s="293" t="s">
        <v>4623</v>
      </c>
      <c r="J89" s="293" t="s">
        <v>4623</v>
      </c>
      <c r="K89" s="290" t="s">
        <v>4623</v>
      </c>
      <c r="L89" s="290" t="s">
        <v>4623</v>
      </c>
      <c r="M89" s="290" t="s">
        <v>4623</v>
      </c>
      <c r="N89" s="290" t="s">
        <v>4623</v>
      </c>
      <c r="O89" s="290" t="s">
        <v>4792</v>
      </c>
      <c r="P89" s="290" t="s">
        <v>999</v>
      </c>
      <c r="Q89" s="291" t="s">
        <v>4623</v>
      </c>
      <c r="R89" s="276"/>
      <c r="S89" s="277">
        <f>IF(OR(C89="",C89=T$4),NA(),MATCH($B89&amp;$C89,'Smelter Reference List'!$J:$J,0))</f>
        <v>147</v>
      </c>
      <c r="T89" s="278"/>
      <c r="U89" s="278"/>
      <c r="V89" s="278"/>
      <c r="W89" s="278"/>
    </row>
    <row r="90" spans="1:23" s="269" customFormat="1" ht="20.25">
      <c r="A90" s="267"/>
      <c r="B90" s="275" t="s">
        <v>2436</v>
      </c>
      <c r="C90" s="275" t="s">
        <v>2579</v>
      </c>
      <c r="D90" s="168" t="s">
        <v>4793</v>
      </c>
      <c r="E90" s="168" t="s">
        <v>2292</v>
      </c>
      <c r="F90" s="168" t="s">
        <v>1406</v>
      </c>
      <c r="G90" s="168" t="s">
        <v>3324</v>
      </c>
      <c r="H90" s="292" t="s">
        <v>4623</v>
      </c>
      <c r="I90" s="293" t="s">
        <v>4623</v>
      </c>
      <c r="J90" s="293" t="s">
        <v>4623</v>
      </c>
      <c r="K90" s="290" t="s">
        <v>4623</v>
      </c>
      <c r="L90" s="290" t="s">
        <v>4623</v>
      </c>
      <c r="M90" s="290" t="s">
        <v>4623</v>
      </c>
      <c r="N90" s="290" t="s">
        <v>4623</v>
      </c>
      <c r="O90" s="290" t="s">
        <v>4623</v>
      </c>
      <c r="P90" s="290" t="s">
        <v>999</v>
      </c>
      <c r="Q90" s="291" t="s">
        <v>4623</v>
      </c>
      <c r="R90" s="276"/>
      <c r="S90" s="277">
        <f>IF(OR(C90="",C90=T$4),NA(),MATCH($B90&amp;$C90,'Smelter Reference List'!$J:$J,0))</f>
        <v>148</v>
      </c>
      <c r="T90" s="278"/>
      <c r="U90" s="278"/>
      <c r="V90" s="278"/>
      <c r="W90" s="278"/>
    </row>
    <row r="91" spans="1:23" s="269" customFormat="1" ht="20.25">
      <c r="A91" s="267"/>
      <c r="B91" s="275" t="s">
        <v>2436</v>
      </c>
      <c r="C91" s="275" t="s">
        <v>4419</v>
      </c>
      <c r="D91" s="168" t="s">
        <v>4794</v>
      </c>
      <c r="E91" s="168" t="s">
        <v>1880</v>
      </c>
      <c r="F91" s="168" t="s">
        <v>1407</v>
      </c>
      <c r="G91" s="168" t="s">
        <v>4623</v>
      </c>
      <c r="H91" s="292" t="s">
        <v>4795</v>
      </c>
      <c r="I91" s="293" t="s">
        <v>3480</v>
      </c>
      <c r="J91" s="293" t="s">
        <v>4796</v>
      </c>
      <c r="K91" s="290" t="s">
        <v>4797</v>
      </c>
      <c r="L91" s="290" t="s">
        <v>4798</v>
      </c>
      <c r="M91" s="290" t="s">
        <v>4769</v>
      </c>
      <c r="N91" s="290" t="s">
        <v>4799</v>
      </c>
      <c r="O91" s="290" t="s">
        <v>4726</v>
      </c>
      <c r="P91" s="290" t="s">
        <v>999</v>
      </c>
      <c r="Q91" s="291" t="s">
        <v>4800</v>
      </c>
      <c r="R91" s="276"/>
      <c r="S91" s="277">
        <f>IF(OR(C91="",C91=T$4),NA(),MATCH($B91&amp;$C91,'Smelter Reference List'!$J:$J,0))</f>
        <v>149</v>
      </c>
      <c r="T91" s="278"/>
      <c r="U91" s="278"/>
      <c r="V91" s="278"/>
      <c r="W91" s="278"/>
    </row>
    <row r="92" spans="1:23" s="269" customFormat="1" ht="20.25">
      <c r="A92" s="267"/>
      <c r="B92" s="275" t="s">
        <v>2436</v>
      </c>
      <c r="C92" s="275" t="s">
        <v>2830</v>
      </c>
      <c r="D92" s="168" t="s">
        <v>2830</v>
      </c>
      <c r="E92" s="168" t="s">
        <v>1867</v>
      </c>
      <c r="F92" s="168" t="s">
        <v>2831</v>
      </c>
      <c r="G92" s="168" t="s">
        <v>3324</v>
      </c>
      <c r="H92" s="292" t="s">
        <v>4623</v>
      </c>
      <c r="I92" s="293" t="s">
        <v>4623</v>
      </c>
      <c r="J92" s="293" t="s">
        <v>4623</v>
      </c>
      <c r="K92" s="290" t="s">
        <v>4623</v>
      </c>
      <c r="L92" s="290" t="s">
        <v>4623</v>
      </c>
      <c r="M92" s="290" t="s">
        <v>4623</v>
      </c>
      <c r="N92" s="290" t="s">
        <v>4623</v>
      </c>
      <c r="O92" s="290" t="s">
        <v>4645</v>
      </c>
      <c r="P92" s="290" t="s">
        <v>999</v>
      </c>
      <c r="Q92" s="291" t="s">
        <v>4623</v>
      </c>
      <c r="R92" s="276"/>
      <c r="S92" s="277">
        <f>IF(OR(C92="",C92=T$4),NA(),MATCH($B92&amp;$C92,'Smelter Reference List'!$J:$J,0))</f>
        <v>151</v>
      </c>
      <c r="T92" s="278"/>
      <c r="U92" s="278"/>
      <c r="V92" s="278"/>
      <c r="W92" s="278"/>
    </row>
    <row r="93" spans="1:23" s="269" customFormat="1" ht="20.25">
      <c r="A93" s="267"/>
      <c r="B93" s="275" t="s">
        <v>2436</v>
      </c>
      <c r="C93" s="275" t="s">
        <v>1905</v>
      </c>
      <c r="D93" s="168" t="s">
        <v>1905</v>
      </c>
      <c r="E93" s="168" t="s">
        <v>2290</v>
      </c>
      <c r="F93" s="168" t="s">
        <v>1408</v>
      </c>
      <c r="G93" s="168" t="s">
        <v>3324</v>
      </c>
      <c r="H93" s="292" t="s">
        <v>4623</v>
      </c>
      <c r="I93" s="293" t="s">
        <v>4623</v>
      </c>
      <c r="J93" s="293" t="s">
        <v>4623</v>
      </c>
      <c r="K93" s="290" t="s">
        <v>4623</v>
      </c>
      <c r="L93" s="290" t="s">
        <v>4623</v>
      </c>
      <c r="M93" s="290" t="s">
        <v>4623</v>
      </c>
      <c r="N93" s="290" t="s">
        <v>4623</v>
      </c>
      <c r="O93" s="290" t="s">
        <v>4801</v>
      </c>
      <c r="P93" s="290" t="s">
        <v>999</v>
      </c>
      <c r="Q93" s="291" t="s">
        <v>4623</v>
      </c>
      <c r="R93" s="276"/>
      <c r="S93" s="277">
        <f>IF(OR(C93="",C93=T$4),NA(),MATCH($B93&amp;$C93,'Smelter Reference List'!$J:$J,0))</f>
        <v>152</v>
      </c>
      <c r="T93" s="278"/>
      <c r="U93" s="278"/>
      <c r="V93" s="278"/>
      <c r="W93" s="278"/>
    </row>
    <row r="94" spans="1:23" s="269" customFormat="1" ht="20.25">
      <c r="A94" s="267"/>
      <c r="B94" s="275" t="s">
        <v>2436</v>
      </c>
      <c r="C94" s="275" t="s">
        <v>2485</v>
      </c>
      <c r="D94" s="168" t="s">
        <v>2485</v>
      </c>
      <c r="E94" s="168" t="s">
        <v>1867</v>
      </c>
      <c r="F94" s="168" t="s">
        <v>1409</v>
      </c>
      <c r="G94" s="168" t="s">
        <v>4623</v>
      </c>
      <c r="H94" s="292" t="s">
        <v>4802</v>
      </c>
      <c r="I94" s="293" t="s">
        <v>4803</v>
      </c>
      <c r="J94" s="293" t="s">
        <v>4623</v>
      </c>
      <c r="K94" s="290" t="s">
        <v>4623</v>
      </c>
      <c r="L94" s="290" t="s">
        <v>4804</v>
      </c>
      <c r="M94" s="290" t="s">
        <v>4623</v>
      </c>
      <c r="N94" s="290" t="s">
        <v>4623</v>
      </c>
      <c r="O94" s="290" t="s">
        <v>4623</v>
      </c>
      <c r="P94" s="290" t="s">
        <v>999</v>
      </c>
      <c r="Q94" s="291" t="s">
        <v>4623</v>
      </c>
      <c r="R94" s="276"/>
      <c r="S94" s="277">
        <f>IF(OR(C94="",C94=T$4),NA(),MATCH($B94&amp;$C94,'Smelter Reference List'!$J:$J,0))</f>
        <v>153</v>
      </c>
      <c r="T94" s="278"/>
      <c r="U94" s="278"/>
      <c r="V94" s="278"/>
      <c r="W94" s="278"/>
    </row>
    <row r="95" spans="1:23" s="269" customFormat="1" ht="20.25">
      <c r="A95" s="267"/>
      <c r="B95" s="275" t="s">
        <v>2436</v>
      </c>
      <c r="C95" s="275" t="s">
        <v>4523</v>
      </c>
      <c r="D95" s="168" t="s">
        <v>4805</v>
      </c>
      <c r="E95" s="168" t="s">
        <v>2308</v>
      </c>
      <c r="F95" s="168" t="s">
        <v>4526</v>
      </c>
      <c r="G95" s="168" t="s">
        <v>4623</v>
      </c>
      <c r="H95" s="292" t="s">
        <v>4806</v>
      </c>
      <c r="I95" s="293" t="s">
        <v>3679</v>
      </c>
      <c r="J95" s="293" t="s">
        <v>4623</v>
      </c>
      <c r="K95" s="290" t="s">
        <v>4807</v>
      </c>
      <c r="L95" s="290" t="s">
        <v>4808</v>
      </c>
      <c r="M95" s="290" t="s">
        <v>4623</v>
      </c>
      <c r="N95" s="290" t="s">
        <v>4623</v>
      </c>
      <c r="O95" s="290" t="s">
        <v>4623</v>
      </c>
      <c r="P95" s="290" t="s">
        <v>999</v>
      </c>
      <c r="Q95" s="291" t="s">
        <v>4623</v>
      </c>
      <c r="R95" s="276"/>
      <c r="S95" s="277">
        <f>IF(OR(C95="",C95=T$4),NA(),MATCH($B95&amp;$C95,'Smelter Reference List'!$J:$J,0))</f>
        <v>157</v>
      </c>
      <c r="T95" s="278"/>
      <c r="U95" s="278"/>
      <c r="V95" s="278"/>
      <c r="W95" s="278"/>
    </row>
    <row r="96" spans="1:23" s="269" customFormat="1" ht="20.25">
      <c r="A96" s="267"/>
      <c r="B96" s="275" t="s">
        <v>2436</v>
      </c>
      <c r="C96" s="275" t="s">
        <v>4539</v>
      </c>
      <c r="D96" s="168" t="s">
        <v>4809</v>
      </c>
      <c r="E96" s="168" t="s">
        <v>2411</v>
      </c>
      <c r="F96" s="168" t="s">
        <v>1411</v>
      </c>
      <c r="G96" s="168" t="s">
        <v>4623</v>
      </c>
      <c r="H96" s="292" t="s">
        <v>4810</v>
      </c>
      <c r="I96" s="293" t="s">
        <v>4811</v>
      </c>
      <c r="J96" s="293" t="s">
        <v>4812</v>
      </c>
      <c r="K96" s="290" t="s">
        <v>1005</v>
      </c>
      <c r="L96" s="290" t="s">
        <v>1005</v>
      </c>
      <c r="M96" s="290" t="s">
        <v>1005</v>
      </c>
      <c r="N96" s="290" t="s">
        <v>1005</v>
      </c>
      <c r="O96" s="290" t="s">
        <v>1005</v>
      </c>
      <c r="P96" s="290" t="s">
        <v>999</v>
      </c>
      <c r="Q96" s="291" t="s">
        <v>1005</v>
      </c>
      <c r="R96" s="276"/>
      <c r="S96" s="277">
        <f>IF(OR(C96="",C96=T$4),NA(),MATCH($B96&amp;$C96,'Smelter Reference List'!$J:$J,0))</f>
        <v>158</v>
      </c>
      <c r="T96" s="278"/>
      <c r="U96" s="278"/>
      <c r="V96" s="278"/>
      <c r="W96" s="278"/>
    </row>
    <row r="97" spans="1:23" s="269" customFormat="1" ht="20.25">
      <c r="A97" s="267"/>
      <c r="B97" s="275" t="s">
        <v>2436</v>
      </c>
      <c r="C97" s="275" t="s">
        <v>92</v>
      </c>
      <c r="D97" s="168" t="s">
        <v>4813</v>
      </c>
      <c r="E97" s="168" t="s">
        <v>2318</v>
      </c>
      <c r="F97" s="168" t="s">
        <v>1412</v>
      </c>
      <c r="G97" s="168" t="s">
        <v>4623</v>
      </c>
      <c r="H97" s="292" t="s">
        <v>4814</v>
      </c>
      <c r="I97" s="293" t="s">
        <v>3491</v>
      </c>
      <c r="J97" s="293" t="s">
        <v>4623</v>
      </c>
      <c r="K97" s="290" t="s">
        <v>4815</v>
      </c>
      <c r="L97" s="290" t="s">
        <v>4816</v>
      </c>
      <c r="M97" s="290" t="s">
        <v>4623</v>
      </c>
      <c r="N97" s="290" t="s">
        <v>4623</v>
      </c>
      <c r="O97" s="290" t="s">
        <v>4726</v>
      </c>
      <c r="P97" s="290" t="s">
        <v>999</v>
      </c>
      <c r="Q97" s="291" t="s">
        <v>4817</v>
      </c>
      <c r="R97" s="276"/>
      <c r="S97" s="277">
        <f>IF(OR(C97="",C97=T$4),NA(),MATCH($B97&amp;$C97,'Smelter Reference List'!$J:$J,0))</f>
        <v>160</v>
      </c>
      <c r="T97" s="278"/>
      <c r="U97" s="278"/>
      <c r="V97" s="278"/>
      <c r="W97" s="278"/>
    </row>
    <row r="98" spans="1:23" s="269" customFormat="1" ht="20.25">
      <c r="A98" s="267"/>
      <c r="B98" s="275" t="s">
        <v>2436</v>
      </c>
      <c r="C98" s="275" t="s">
        <v>3497</v>
      </c>
      <c r="D98" s="168" t="s">
        <v>4818</v>
      </c>
      <c r="E98" s="168" t="s">
        <v>2294</v>
      </c>
      <c r="F98" s="168" t="s">
        <v>3495</v>
      </c>
      <c r="G98" s="168" t="s">
        <v>3324</v>
      </c>
      <c r="H98" s="292" t="s">
        <v>4623</v>
      </c>
      <c r="I98" s="293" t="s">
        <v>4623</v>
      </c>
      <c r="J98" s="293" t="s">
        <v>4623</v>
      </c>
      <c r="K98" s="290" t="s">
        <v>4623</v>
      </c>
      <c r="L98" s="290" t="s">
        <v>4623</v>
      </c>
      <c r="M98" s="290" t="s">
        <v>4623</v>
      </c>
      <c r="N98" s="290" t="s">
        <v>4623</v>
      </c>
      <c r="O98" s="290" t="s">
        <v>4623</v>
      </c>
      <c r="P98" s="290" t="s">
        <v>999</v>
      </c>
      <c r="Q98" s="291" t="s">
        <v>4623</v>
      </c>
      <c r="R98" s="276"/>
      <c r="S98" s="277">
        <f>IF(OR(C98="",C98=T$4),NA(),MATCH($B98&amp;$C98,'Smelter Reference List'!$J:$J,0))</f>
        <v>163</v>
      </c>
      <c r="T98" s="278"/>
      <c r="U98" s="278"/>
      <c r="V98" s="278"/>
      <c r="W98" s="278"/>
    </row>
    <row r="99" spans="1:23" s="269" customFormat="1" ht="20.25">
      <c r="A99" s="267"/>
      <c r="B99" s="275" t="s">
        <v>2436</v>
      </c>
      <c r="C99" s="275" t="s">
        <v>4422</v>
      </c>
      <c r="D99" s="168" t="s">
        <v>4819</v>
      </c>
      <c r="E99" s="168" t="s">
        <v>2294</v>
      </c>
      <c r="F99" s="168" t="s">
        <v>1413</v>
      </c>
      <c r="G99" s="168" t="s">
        <v>3324</v>
      </c>
      <c r="H99" s="292" t="s">
        <v>4820</v>
      </c>
      <c r="I99" s="293" t="s">
        <v>3389</v>
      </c>
      <c r="J99" s="293" t="s">
        <v>4821</v>
      </c>
      <c r="K99" s="290" t="s">
        <v>4822</v>
      </c>
      <c r="L99" s="290" t="s">
        <v>4823</v>
      </c>
      <c r="M99" s="290" t="s">
        <v>4623</v>
      </c>
      <c r="N99" s="290" t="s">
        <v>4623</v>
      </c>
      <c r="O99" s="290" t="s">
        <v>4667</v>
      </c>
      <c r="P99" s="290" t="s">
        <v>999</v>
      </c>
      <c r="Q99" s="291" t="s">
        <v>4824</v>
      </c>
      <c r="R99" s="276"/>
      <c r="S99" s="277">
        <f>IF(OR(C99="",C99=T$4),NA(),MATCH($B99&amp;$C99,'Smelter Reference List'!$J:$J,0))</f>
        <v>165</v>
      </c>
      <c r="T99" s="278"/>
      <c r="U99" s="278"/>
      <c r="V99" s="278"/>
      <c r="W99" s="278"/>
    </row>
    <row r="100" spans="1:23" s="269" customFormat="1" ht="20.25">
      <c r="A100" s="267"/>
      <c r="B100" s="275" t="s">
        <v>2436</v>
      </c>
      <c r="C100" s="275" t="s">
        <v>52</v>
      </c>
      <c r="D100" s="168" t="s">
        <v>52</v>
      </c>
      <c r="E100" s="168" t="s">
        <v>2362</v>
      </c>
      <c r="F100" s="168" t="s">
        <v>1419</v>
      </c>
      <c r="G100" s="168" t="s">
        <v>3324</v>
      </c>
      <c r="H100" s="292" t="s">
        <v>4623</v>
      </c>
      <c r="I100" s="293" t="s">
        <v>4623</v>
      </c>
      <c r="J100" s="293" t="s">
        <v>4623</v>
      </c>
      <c r="K100" s="290" t="s">
        <v>4623</v>
      </c>
      <c r="L100" s="290" t="s">
        <v>4623</v>
      </c>
      <c r="M100" s="290" t="s">
        <v>4623</v>
      </c>
      <c r="N100" s="290" t="s">
        <v>4623</v>
      </c>
      <c r="O100" s="290" t="s">
        <v>4623</v>
      </c>
      <c r="P100" s="290" t="s">
        <v>999</v>
      </c>
      <c r="Q100" s="291" t="s">
        <v>4623</v>
      </c>
      <c r="R100" s="276"/>
      <c r="S100" s="277">
        <f>IF(OR(C100="",C100=T$4),NA(),MATCH($B100&amp;$C100,'Smelter Reference List'!$J:$J,0))</f>
        <v>167</v>
      </c>
      <c r="T100" s="278"/>
      <c r="U100" s="278"/>
      <c r="V100" s="278"/>
      <c r="W100" s="278"/>
    </row>
    <row r="101" spans="1:23" s="269" customFormat="1" ht="20.25">
      <c r="A101" s="267"/>
      <c r="B101" s="275" t="s">
        <v>2436</v>
      </c>
      <c r="C101" s="275" t="s">
        <v>4423</v>
      </c>
      <c r="D101" s="168" t="s">
        <v>4423</v>
      </c>
      <c r="E101" s="168" t="s">
        <v>2294</v>
      </c>
      <c r="F101" s="168" t="s">
        <v>2832</v>
      </c>
      <c r="G101" s="168" t="s">
        <v>3324</v>
      </c>
      <c r="H101" s="292" t="s">
        <v>4623</v>
      </c>
      <c r="I101" s="293" t="s">
        <v>4623</v>
      </c>
      <c r="J101" s="293" t="s">
        <v>4623</v>
      </c>
      <c r="K101" s="290" t="s">
        <v>4623</v>
      </c>
      <c r="L101" s="290" t="s">
        <v>4623</v>
      </c>
      <c r="M101" s="290" t="s">
        <v>4623</v>
      </c>
      <c r="N101" s="290" t="s">
        <v>4623</v>
      </c>
      <c r="O101" s="290" t="s">
        <v>4623</v>
      </c>
      <c r="P101" s="290" t="s">
        <v>999</v>
      </c>
      <c r="Q101" s="291" t="s">
        <v>4623</v>
      </c>
      <c r="R101" s="276"/>
      <c r="S101" s="277">
        <f>IF(OR(C101="",C101=T$4),NA(),MATCH($B101&amp;$C101,'Smelter Reference List'!$J:$J,0))</f>
        <v>168</v>
      </c>
      <c r="T101" s="278"/>
      <c r="U101" s="278"/>
      <c r="V101" s="278"/>
      <c r="W101" s="278"/>
    </row>
    <row r="102" spans="1:23" s="269" customFormat="1" ht="20.25">
      <c r="A102" s="267"/>
      <c r="B102" s="275" t="s">
        <v>2436</v>
      </c>
      <c r="C102" s="275" t="s">
        <v>2833</v>
      </c>
      <c r="D102" s="168" t="s">
        <v>2833</v>
      </c>
      <c r="E102" s="168" t="s">
        <v>1861</v>
      </c>
      <c r="F102" s="168" t="s">
        <v>2834</v>
      </c>
      <c r="G102" s="168" t="s">
        <v>3324</v>
      </c>
      <c r="H102" s="292" t="s">
        <v>4623</v>
      </c>
      <c r="I102" s="293" t="s">
        <v>4623</v>
      </c>
      <c r="J102" s="293" t="s">
        <v>4623</v>
      </c>
      <c r="K102" s="290" t="s">
        <v>4623</v>
      </c>
      <c r="L102" s="290" t="s">
        <v>4623</v>
      </c>
      <c r="M102" s="290" t="s">
        <v>4623</v>
      </c>
      <c r="N102" s="290" t="s">
        <v>4623</v>
      </c>
      <c r="O102" s="290" t="s">
        <v>4623</v>
      </c>
      <c r="P102" s="290" t="s">
        <v>999</v>
      </c>
      <c r="Q102" s="291" t="s">
        <v>4623</v>
      </c>
      <c r="R102" s="276"/>
      <c r="S102" s="277">
        <f>IF(OR(C102="",C102=T$4),NA(),MATCH($B102&amp;$C102,'Smelter Reference List'!$J:$J,0))</f>
        <v>170</v>
      </c>
      <c r="T102" s="278"/>
      <c r="U102" s="278"/>
      <c r="V102" s="278"/>
      <c r="W102" s="278"/>
    </row>
    <row r="103" spans="1:23" s="269" customFormat="1" ht="20.25">
      <c r="A103" s="267"/>
      <c r="B103" s="275" t="s">
        <v>2436</v>
      </c>
      <c r="C103" s="275" t="s">
        <v>3831</v>
      </c>
      <c r="D103" s="168" t="s">
        <v>4825</v>
      </c>
      <c r="E103" s="168" t="s">
        <v>2257</v>
      </c>
      <c r="F103" s="168" t="s">
        <v>4623</v>
      </c>
      <c r="G103" s="168" t="s">
        <v>4623</v>
      </c>
      <c r="H103" s="292" t="s">
        <v>4623</v>
      </c>
      <c r="I103" s="293" t="s">
        <v>4623</v>
      </c>
      <c r="J103" s="293" t="s">
        <v>4623</v>
      </c>
      <c r="K103" s="290" t="s">
        <v>4623</v>
      </c>
      <c r="L103" s="290" t="s">
        <v>4623</v>
      </c>
      <c r="M103" s="290" t="s">
        <v>4623</v>
      </c>
      <c r="N103" s="290" t="s">
        <v>4623</v>
      </c>
      <c r="O103" s="290" t="s">
        <v>4623</v>
      </c>
      <c r="P103" s="290" t="s">
        <v>999</v>
      </c>
      <c r="Q103" s="291" t="s">
        <v>4623</v>
      </c>
      <c r="R103" s="276"/>
      <c r="S103" s="277">
        <f>IF(OR(C103="",C103=T$4),NA(),MATCH($B103&amp;$C103,'Smelter Reference List'!$J:$J,0))</f>
        <v>222</v>
      </c>
      <c r="T103" s="278"/>
      <c r="U103" s="278"/>
      <c r="V103" s="278"/>
      <c r="W103" s="278"/>
    </row>
    <row r="104" spans="1:23" s="269" customFormat="1" ht="20.25">
      <c r="A104" s="267"/>
      <c r="B104" s="275" t="s">
        <v>2436</v>
      </c>
      <c r="C104" s="275" t="s">
        <v>3831</v>
      </c>
      <c r="D104" s="168" t="s">
        <v>4826</v>
      </c>
      <c r="E104" s="168" t="s">
        <v>2263</v>
      </c>
      <c r="F104" s="168" t="s">
        <v>4623</v>
      </c>
      <c r="G104" s="168" t="s">
        <v>4623</v>
      </c>
      <c r="H104" s="292" t="s">
        <v>4623</v>
      </c>
      <c r="I104" s="293" t="s">
        <v>4623</v>
      </c>
      <c r="J104" s="293" t="s">
        <v>4623</v>
      </c>
      <c r="K104" s="290" t="s">
        <v>4623</v>
      </c>
      <c r="L104" s="290" t="s">
        <v>4623</v>
      </c>
      <c r="M104" s="290" t="s">
        <v>4623</v>
      </c>
      <c r="N104" s="290" t="s">
        <v>4623</v>
      </c>
      <c r="O104" s="290" t="s">
        <v>4623</v>
      </c>
      <c r="P104" s="290" t="s">
        <v>999</v>
      </c>
      <c r="Q104" s="291" t="s">
        <v>4623</v>
      </c>
      <c r="R104" s="276"/>
      <c r="S104" s="277">
        <f>IF(OR(C104="",C104=T$4),NA(),MATCH($B104&amp;$C104,'Smelter Reference List'!$J:$J,0))</f>
        <v>222</v>
      </c>
      <c r="T104" s="278"/>
      <c r="U104" s="278"/>
      <c r="V104" s="278"/>
      <c r="W104" s="278"/>
    </row>
    <row r="105" spans="1:23" s="269" customFormat="1" ht="20.25">
      <c r="A105" s="267"/>
      <c r="B105" s="275" t="s">
        <v>2436</v>
      </c>
      <c r="C105" s="275" t="s">
        <v>3831</v>
      </c>
      <c r="D105" s="168" t="s">
        <v>4827</v>
      </c>
      <c r="E105" s="168" t="s">
        <v>2267</v>
      </c>
      <c r="F105" s="168" t="s">
        <v>4623</v>
      </c>
      <c r="G105" s="168" t="s">
        <v>4623</v>
      </c>
      <c r="H105" s="292" t="s">
        <v>4623</v>
      </c>
      <c r="I105" s="293" t="s">
        <v>4623</v>
      </c>
      <c r="J105" s="293" t="s">
        <v>4623</v>
      </c>
      <c r="K105" s="290" t="s">
        <v>4623</v>
      </c>
      <c r="L105" s="290" t="s">
        <v>4623</v>
      </c>
      <c r="M105" s="290" t="s">
        <v>4623</v>
      </c>
      <c r="N105" s="290" t="s">
        <v>4623</v>
      </c>
      <c r="O105" s="290" t="s">
        <v>4623</v>
      </c>
      <c r="P105" s="290" t="s">
        <v>999</v>
      </c>
      <c r="Q105" s="291" t="s">
        <v>4623</v>
      </c>
      <c r="R105" s="276"/>
      <c r="S105" s="277">
        <f>IF(OR(C105="",C105=T$4),NA(),MATCH($B105&amp;$C105,'Smelter Reference List'!$J:$J,0))</f>
        <v>222</v>
      </c>
      <c r="T105" s="278"/>
      <c r="U105" s="278"/>
      <c r="V105" s="278"/>
      <c r="W105" s="278"/>
    </row>
    <row r="106" spans="1:23" s="269" customFormat="1" ht="20.25">
      <c r="A106" s="267"/>
      <c r="B106" s="275" t="s">
        <v>2436</v>
      </c>
      <c r="C106" s="275" t="s">
        <v>3831</v>
      </c>
      <c r="D106" s="168" t="s">
        <v>4828</v>
      </c>
      <c r="E106" s="168" t="s">
        <v>2267</v>
      </c>
      <c r="F106" s="168" t="s">
        <v>4623</v>
      </c>
      <c r="G106" s="168" t="s">
        <v>4623</v>
      </c>
      <c r="H106" s="292" t="s">
        <v>4623</v>
      </c>
      <c r="I106" s="293" t="s">
        <v>4623</v>
      </c>
      <c r="J106" s="293" t="s">
        <v>4623</v>
      </c>
      <c r="K106" s="290" t="s">
        <v>4623</v>
      </c>
      <c r="L106" s="290" t="s">
        <v>4623</v>
      </c>
      <c r="M106" s="290" t="s">
        <v>4623</v>
      </c>
      <c r="N106" s="290" t="s">
        <v>4623</v>
      </c>
      <c r="O106" s="290" t="s">
        <v>4623</v>
      </c>
      <c r="P106" s="290" t="s">
        <v>999</v>
      </c>
      <c r="Q106" s="291" t="s">
        <v>4623</v>
      </c>
      <c r="R106" s="276"/>
      <c r="S106" s="277">
        <f>IF(OR(C106="",C106=T$4),NA(),MATCH($B106&amp;$C106,'Smelter Reference List'!$J:$J,0))</f>
        <v>222</v>
      </c>
      <c r="T106" s="278"/>
      <c r="U106" s="278"/>
      <c r="V106" s="278"/>
      <c r="W106" s="278"/>
    </row>
    <row r="107" spans="1:23" s="269" customFormat="1" ht="20.25">
      <c r="A107" s="267"/>
      <c r="B107" s="275" t="s">
        <v>2436</v>
      </c>
      <c r="C107" s="275" t="s">
        <v>3831</v>
      </c>
      <c r="D107" s="168" t="s">
        <v>4829</v>
      </c>
      <c r="E107" s="168" t="s">
        <v>2267</v>
      </c>
      <c r="F107" s="168" t="s">
        <v>4623</v>
      </c>
      <c r="G107" s="168" t="s">
        <v>4623</v>
      </c>
      <c r="H107" s="292" t="s">
        <v>4830</v>
      </c>
      <c r="I107" s="293" t="s">
        <v>3529</v>
      </c>
      <c r="J107" s="293" t="s">
        <v>4831</v>
      </c>
      <c r="K107" s="290" t="s">
        <v>4832</v>
      </c>
      <c r="L107" s="290" t="s">
        <v>4623</v>
      </c>
      <c r="M107" s="290" t="s">
        <v>4833</v>
      </c>
      <c r="N107" s="290" t="s">
        <v>4834</v>
      </c>
      <c r="O107" s="290" t="s">
        <v>4835</v>
      </c>
      <c r="P107" s="290" t="s">
        <v>999</v>
      </c>
      <c r="Q107" s="291" t="s">
        <v>4623</v>
      </c>
      <c r="R107" s="276"/>
      <c r="S107" s="277">
        <f>IF(OR(C107="",C107=T$4),NA(),MATCH($B107&amp;$C107,'Smelter Reference List'!$J:$J,0))</f>
        <v>222</v>
      </c>
      <c r="T107" s="278"/>
      <c r="U107" s="278"/>
      <c r="V107" s="278"/>
      <c r="W107" s="278"/>
    </row>
    <row r="108" spans="1:23" s="269" customFormat="1" ht="20.25">
      <c r="A108" s="267"/>
      <c r="B108" s="275" t="s">
        <v>2436</v>
      </c>
      <c r="C108" s="275" t="s">
        <v>3831</v>
      </c>
      <c r="D108" s="168" t="s">
        <v>4836</v>
      </c>
      <c r="E108" s="168" t="s">
        <v>2267</v>
      </c>
      <c r="F108" s="168" t="s">
        <v>4623</v>
      </c>
      <c r="G108" s="168" t="s">
        <v>4623</v>
      </c>
      <c r="H108" s="292" t="s">
        <v>4623</v>
      </c>
      <c r="I108" s="293" t="s">
        <v>4623</v>
      </c>
      <c r="J108" s="293" t="s">
        <v>4623</v>
      </c>
      <c r="K108" s="290" t="s">
        <v>4623</v>
      </c>
      <c r="L108" s="290" t="s">
        <v>4623</v>
      </c>
      <c r="M108" s="290" t="s">
        <v>4623</v>
      </c>
      <c r="N108" s="290" t="s">
        <v>4623</v>
      </c>
      <c r="O108" s="290" t="s">
        <v>4623</v>
      </c>
      <c r="P108" s="290" t="s">
        <v>999</v>
      </c>
      <c r="Q108" s="291" t="s">
        <v>4623</v>
      </c>
      <c r="R108" s="276"/>
      <c r="S108" s="277">
        <f>IF(OR(C108="",C108=T$4),NA(),MATCH($B108&amp;$C108,'Smelter Reference List'!$J:$J,0))</f>
        <v>222</v>
      </c>
      <c r="T108" s="278"/>
      <c r="U108" s="278"/>
      <c r="V108" s="278"/>
      <c r="W108" s="278"/>
    </row>
    <row r="109" spans="1:23" s="269" customFormat="1" ht="20.25">
      <c r="A109" s="267"/>
      <c r="B109" s="275" t="s">
        <v>2436</v>
      </c>
      <c r="C109" s="275" t="s">
        <v>3831</v>
      </c>
      <c r="D109" s="168" t="s">
        <v>4837</v>
      </c>
      <c r="E109" s="168" t="s">
        <v>2267</v>
      </c>
      <c r="F109" s="168" t="s">
        <v>4623</v>
      </c>
      <c r="G109" s="168" t="s">
        <v>4623</v>
      </c>
      <c r="H109" s="292" t="s">
        <v>4838</v>
      </c>
      <c r="I109" s="293" t="s">
        <v>4839</v>
      </c>
      <c r="J109" s="293" t="s">
        <v>4840</v>
      </c>
      <c r="K109" s="290" t="s">
        <v>4623</v>
      </c>
      <c r="L109" s="290" t="s">
        <v>4623</v>
      </c>
      <c r="M109" s="290" t="s">
        <v>4623</v>
      </c>
      <c r="N109" s="290" t="s">
        <v>4623</v>
      </c>
      <c r="O109" s="290" t="s">
        <v>4623</v>
      </c>
      <c r="P109" s="290" t="s">
        <v>999</v>
      </c>
      <c r="Q109" s="291" t="s">
        <v>4623</v>
      </c>
      <c r="R109" s="276"/>
      <c r="S109" s="277">
        <f>IF(OR(C109="",C109=T$4),NA(),MATCH($B109&amp;$C109,'Smelter Reference List'!$J:$J,0))</f>
        <v>222</v>
      </c>
      <c r="T109" s="278"/>
      <c r="U109" s="278"/>
      <c r="V109" s="278"/>
      <c r="W109" s="278"/>
    </row>
    <row r="110" spans="1:23" s="269" customFormat="1" ht="20.25">
      <c r="A110" s="267"/>
      <c r="B110" s="275" t="s">
        <v>2436</v>
      </c>
      <c r="C110" s="275" t="s">
        <v>3831</v>
      </c>
      <c r="D110" s="168" t="s">
        <v>4841</v>
      </c>
      <c r="E110" s="168" t="s">
        <v>2267</v>
      </c>
      <c r="F110" s="168" t="s">
        <v>4623</v>
      </c>
      <c r="G110" s="168" t="s">
        <v>4623</v>
      </c>
      <c r="H110" s="292" t="s">
        <v>4623</v>
      </c>
      <c r="I110" s="293" t="s">
        <v>4623</v>
      </c>
      <c r="J110" s="293" t="s">
        <v>4623</v>
      </c>
      <c r="K110" s="290" t="s">
        <v>4623</v>
      </c>
      <c r="L110" s="290" t="s">
        <v>4623</v>
      </c>
      <c r="M110" s="290" t="s">
        <v>4623</v>
      </c>
      <c r="N110" s="290" t="s">
        <v>4623</v>
      </c>
      <c r="O110" s="290" t="s">
        <v>4623</v>
      </c>
      <c r="P110" s="290" t="s">
        <v>999</v>
      </c>
      <c r="Q110" s="291" t="s">
        <v>4623</v>
      </c>
      <c r="R110" s="276"/>
      <c r="S110" s="277">
        <f>IF(OR(C110="",C110=T$4),NA(),MATCH($B110&amp;$C110,'Smelter Reference List'!$J:$J,0))</f>
        <v>222</v>
      </c>
      <c r="T110" s="278"/>
      <c r="U110" s="278"/>
      <c r="V110" s="278"/>
      <c r="W110" s="278"/>
    </row>
    <row r="111" spans="1:23" s="269" customFormat="1" ht="20.25">
      <c r="A111" s="267"/>
      <c r="B111" s="275" t="s">
        <v>2436</v>
      </c>
      <c r="C111" s="275" t="s">
        <v>3831</v>
      </c>
      <c r="D111" s="168" t="s">
        <v>4842</v>
      </c>
      <c r="E111" s="168" t="s">
        <v>2267</v>
      </c>
      <c r="F111" s="168" t="s">
        <v>4623</v>
      </c>
      <c r="G111" s="168" t="s">
        <v>4623</v>
      </c>
      <c r="H111" s="292" t="s">
        <v>4843</v>
      </c>
      <c r="I111" s="293" t="s">
        <v>3528</v>
      </c>
      <c r="J111" s="293" t="s">
        <v>3529</v>
      </c>
      <c r="K111" s="290" t="s">
        <v>4844</v>
      </c>
      <c r="L111" s="290" t="s">
        <v>4845</v>
      </c>
      <c r="M111" s="290" t="s">
        <v>4623</v>
      </c>
      <c r="N111" s="290" t="s">
        <v>4623</v>
      </c>
      <c r="O111" s="290" t="s">
        <v>4846</v>
      </c>
      <c r="P111" s="290" t="s">
        <v>999</v>
      </c>
      <c r="Q111" s="291" t="s">
        <v>4623</v>
      </c>
      <c r="R111" s="276"/>
      <c r="S111" s="277">
        <f>IF(OR(C111="",C111=T$4),NA(),MATCH($B111&amp;$C111,'Smelter Reference List'!$J:$J,0))</f>
        <v>222</v>
      </c>
      <c r="T111" s="278"/>
      <c r="U111" s="278"/>
      <c r="V111" s="278"/>
      <c r="W111" s="278"/>
    </row>
    <row r="112" spans="1:23" s="269" customFormat="1" ht="20.25">
      <c r="A112" s="267"/>
      <c r="B112" s="275" t="s">
        <v>2436</v>
      </c>
      <c r="C112" s="275" t="s">
        <v>3831</v>
      </c>
      <c r="D112" s="168" t="s">
        <v>4847</v>
      </c>
      <c r="E112" s="168" t="s">
        <v>2267</v>
      </c>
      <c r="F112" s="168" t="s">
        <v>4623</v>
      </c>
      <c r="G112" s="168" t="s">
        <v>4623</v>
      </c>
      <c r="H112" s="292" t="s">
        <v>4623</v>
      </c>
      <c r="I112" s="293" t="s">
        <v>4623</v>
      </c>
      <c r="J112" s="293" t="s">
        <v>4623</v>
      </c>
      <c r="K112" s="290" t="s">
        <v>4623</v>
      </c>
      <c r="L112" s="290" t="s">
        <v>4623</v>
      </c>
      <c r="M112" s="290" t="s">
        <v>4623</v>
      </c>
      <c r="N112" s="290" t="s">
        <v>4623</v>
      </c>
      <c r="O112" s="290" t="s">
        <v>4623</v>
      </c>
      <c r="P112" s="290" t="s">
        <v>999</v>
      </c>
      <c r="Q112" s="291" t="s">
        <v>4623</v>
      </c>
      <c r="R112" s="276"/>
      <c r="S112" s="277">
        <f>IF(OR(C112="",C112=T$4),NA(),MATCH($B112&amp;$C112,'Smelter Reference List'!$J:$J,0))</f>
        <v>222</v>
      </c>
      <c r="T112" s="278"/>
      <c r="U112" s="278"/>
      <c r="V112" s="278"/>
      <c r="W112" s="278"/>
    </row>
    <row r="113" spans="1:23" s="269" customFormat="1" ht="20.25">
      <c r="A113" s="267"/>
      <c r="B113" s="275" t="s">
        <v>2436</v>
      </c>
      <c r="C113" s="275" t="s">
        <v>3831</v>
      </c>
      <c r="D113" s="168" t="s">
        <v>93</v>
      </c>
      <c r="E113" s="168" t="s">
        <v>2267</v>
      </c>
      <c r="F113" s="168" t="s">
        <v>4623</v>
      </c>
      <c r="G113" s="168" t="s">
        <v>4623</v>
      </c>
      <c r="H113" s="292" t="s">
        <v>4623</v>
      </c>
      <c r="I113" s="293" t="s">
        <v>4623</v>
      </c>
      <c r="J113" s="293" t="s">
        <v>4623</v>
      </c>
      <c r="K113" s="290" t="s">
        <v>4623</v>
      </c>
      <c r="L113" s="290" t="s">
        <v>4623</v>
      </c>
      <c r="M113" s="290" t="s">
        <v>4623</v>
      </c>
      <c r="N113" s="290" t="s">
        <v>4623</v>
      </c>
      <c r="O113" s="290" t="s">
        <v>4623</v>
      </c>
      <c r="P113" s="290" t="s">
        <v>999</v>
      </c>
      <c r="Q113" s="291" t="s">
        <v>4623</v>
      </c>
      <c r="R113" s="276"/>
      <c r="S113" s="277">
        <f>IF(OR(C113="",C113=T$4),NA(),MATCH($B113&amp;$C113,'Smelter Reference List'!$J:$J,0))</f>
        <v>222</v>
      </c>
      <c r="T113" s="278"/>
      <c r="U113" s="278"/>
      <c r="V113" s="278"/>
      <c r="W113" s="278"/>
    </row>
    <row r="114" spans="1:23" s="269" customFormat="1" ht="20.25">
      <c r="A114" s="267"/>
      <c r="B114" s="275" t="s">
        <v>2436</v>
      </c>
      <c r="C114" s="275" t="s">
        <v>3831</v>
      </c>
      <c r="D114" s="168" t="s">
        <v>4848</v>
      </c>
      <c r="E114" s="168" t="s">
        <v>2268</v>
      </c>
      <c r="F114" s="168" t="s">
        <v>4623</v>
      </c>
      <c r="G114" s="168" t="s">
        <v>4623</v>
      </c>
      <c r="H114" s="292" t="s">
        <v>4623</v>
      </c>
      <c r="I114" s="293" t="s">
        <v>4623</v>
      </c>
      <c r="J114" s="293" t="s">
        <v>4623</v>
      </c>
      <c r="K114" s="290" t="s">
        <v>4623</v>
      </c>
      <c r="L114" s="290" t="s">
        <v>4623</v>
      </c>
      <c r="M114" s="290" t="s">
        <v>4623</v>
      </c>
      <c r="N114" s="290" t="s">
        <v>4623</v>
      </c>
      <c r="O114" s="290" t="s">
        <v>4623</v>
      </c>
      <c r="P114" s="290" t="s">
        <v>999</v>
      </c>
      <c r="Q114" s="291" t="s">
        <v>4623</v>
      </c>
      <c r="R114" s="276"/>
      <c r="S114" s="277">
        <f>IF(OR(C114="",C114=T$4),NA(),MATCH($B114&amp;$C114,'Smelter Reference List'!$J:$J,0))</f>
        <v>222</v>
      </c>
      <c r="T114" s="278"/>
      <c r="U114" s="278"/>
      <c r="V114" s="278"/>
      <c r="W114" s="278"/>
    </row>
    <row r="115" spans="1:23" s="269" customFormat="1" ht="20.25">
      <c r="A115" s="267"/>
      <c r="B115" s="275" t="s">
        <v>2436</v>
      </c>
      <c r="C115" s="275" t="s">
        <v>3831</v>
      </c>
      <c r="D115" s="168" t="s">
        <v>4849</v>
      </c>
      <c r="E115" s="168" t="s">
        <v>2268</v>
      </c>
      <c r="F115" s="168" t="s">
        <v>4623</v>
      </c>
      <c r="G115" s="168" t="s">
        <v>4623</v>
      </c>
      <c r="H115" s="292" t="s">
        <v>4850</v>
      </c>
      <c r="I115" s="293" t="s">
        <v>4623</v>
      </c>
      <c r="J115" s="293" t="s">
        <v>4623</v>
      </c>
      <c r="K115" s="290" t="s">
        <v>4623</v>
      </c>
      <c r="L115" s="290" t="s">
        <v>4623</v>
      </c>
      <c r="M115" s="290" t="s">
        <v>4623</v>
      </c>
      <c r="N115" s="290" t="s">
        <v>4623</v>
      </c>
      <c r="O115" s="290" t="s">
        <v>4623</v>
      </c>
      <c r="P115" s="290" t="s">
        <v>999</v>
      </c>
      <c r="Q115" s="291" t="s">
        <v>4623</v>
      </c>
      <c r="R115" s="276"/>
      <c r="S115" s="277">
        <f>IF(OR(C115="",C115=T$4),NA(),MATCH($B115&amp;$C115,'Smelter Reference List'!$J:$J,0))</f>
        <v>222</v>
      </c>
      <c r="T115" s="278"/>
      <c r="U115" s="278"/>
      <c r="V115" s="278"/>
      <c r="W115" s="278"/>
    </row>
    <row r="116" spans="1:23" s="269" customFormat="1" ht="20.25">
      <c r="A116" s="267"/>
      <c r="B116" s="275" t="s">
        <v>2436</v>
      </c>
      <c r="C116" s="275" t="s">
        <v>3831</v>
      </c>
      <c r="D116" s="168" t="s">
        <v>4851</v>
      </c>
      <c r="E116" s="168" t="s">
        <v>2268</v>
      </c>
      <c r="F116" s="168" t="s">
        <v>4623</v>
      </c>
      <c r="G116" s="168" t="s">
        <v>4623</v>
      </c>
      <c r="H116" s="292" t="s">
        <v>4623</v>
      </c>
      <c r="I116" s="293" t="s">
        <v>4623</v>
      </c>
      <c r="J116" s="293" t="s">
        <v>4623</v>
      </c>
      <c r="K116" s="290" t="s">
        <v>4623</v>
      </c>
      <c r="L116" s="290" t="s">
        <v>4623</v>
      </c>
      <c r="M116" s="290" t="s">
        <v>4623</v>
      </c>
      <c r="N116" s="290" t="s">
        <v>4623</v>
      </c>
      <c r="O116" s="290" t="s">
        <v>4623</v>
      </c>
      <c r="P116" s="290" t="s">
        <v>999</v>
      </c>
      <c r="Q116" s="291" t="s">
        <v>4623</v>
      </c>
      <c r="R116" s="276"/>
      <c r="S116" s="277">
        <f>IF(OR(C116="",C116=T$4),NA(),MATCH($B116&amp;$C116,'Smelter Reference List'!$J:$J,0))</f>
        <v>222</v>
      </c>
      <c r="T116" s="278"/>
      <c r="U116" s="278"/>
      <c r="V116" s="278"/>
      <c r="W116" s="278"/>
    </row>
    <row r="117" spans="1:23" s="269" customFormat="1" ht="20.25">
      <c r="A117" s="267"/>
      <c r="B117" s="275" t="s">
        <v>2436</v>
      </c>
      <c r="C117" s="275" t="s">
        <v>3831</v>
      </c>
      <c r="D117" s="168" t="s">
        <v>1899</v>
      </c>
      <c r="E117" s="168" t="s">
        <v>2271</v>
      </c>
      <c r="F117" s="168" t="s">
        <v>4623</v>
      </c>
      <c r="G117" s="168" t="s">
        <v>4623</v>
      </c>
      <c r="H117" s="292" t="s">
        <v>4623</v>
      </c>
      <c r="I117" s="293" t="s">
        <v>4623</v>
      </c>
      <c r="J117" s="293" t="s">
        <v>4623</v>
      </c>
      <c r="K117" s="290" t="s">
        <v>4623</v>
      </c>
      <c r="L117" s="290" t="s">
        <v>4623</v>
      </c>
      <c r="M117" s="290" t="s">
        <v>4623</v>
      </c>
      <c r="N117" s="290" t="s">
        <v>4623</v>
      </c>
      <c r="O117" s="290" t="s">
        <v>4623</v>
      </c>
      <c r="P117" s="290" t="s">
        <v>999</v>
      </c>
      <c r="Q117" s="291" t="s">
        <v>4623</v>
      </c>
      <c r="R117" s="276"/>
      <c r="S117" s="277">
        <f>IF(OR(C117="",C117=T$4),NA(),MATCH($B117&amp;$C117,'Smelter Reference List'!$J:$J,0))</f>
        <v>222</v>
      </c>
      <c r="T117" s="278"/>
      <c r="U117" s="278"/>
      <c r="V117" s="278"/>
      <c r="W117" s="278"/>
    </row>
    <row r="118" spans="1:23" s="269" customFormat="1" ht="20.25">
      <c r="A118" s="267"/>
      <c r="B118" s="275" t="s">
        <v>2436</v>
      </c>
      <c r="C118" s="275" t="s">
        <v>3831</v>
      </c>
      <c r="D118" s="168" t="s">
        <v>4852</v>
      </c>
      <c r="E118" s="168" t="s">
        <v>2271</v>
      </c>
      <c r="F118" s="168" t="s">
        <v>4623</v>
      </c>
      <c r="G118" s="168" t="s">
        <v>4623</v>
      </c>
      <c r="H118" s="292" t="s">
        <v>4853</v>
      </c>
      <c r="I118" s="293" t="s">
        <v>4811</v>
      </c>
      <c r="J118" s="293" t="s">
        <v>4623</v>
      </c>
      <c r="K118" s="290" t="s">
        <v>4623</v>
      </c>
      <c r="L118" s="290" t="s">
        <v>4854</v>
      </c>
      <c r="M118" s="290" t="s">
        <v>4628</v>
      </c>
      <c r="N118" s="290" t="s">
        <v>4628</v>
      </c>
      <c r="O118" s="290" t="s">
        <v>4628</v>
      </c>
      <c r="P118" s="290" t="s">
        <v>999</v>
      </c>
      <c r="Q118" s="291" t="s">
        <v>4623</v>
      </c>
      <c r="R118" s="276"/>
      <c r="S118" s="277">
        <f>IF(OR(C118="",C118=T$4),NA(),MATCH($B118&amp;$C118,'Smelter Reference List'!$J:$J,0))</f>
        <v>222</v>
      </c>
      <c r="T118" s="278"/>
      <c r="U118" s="278"/>
      <c r="V118" s="278"/>
      <c r="W118" s="278"/>
    </row>
    <row r="119" spans="1:23" s="269" customFormat="1" ht="20.25">
      <c r="A119" s="267"/>
      <c r="B119" s="275" t="s">
        <v>2436</v>
      </c>
      <c r="C119" s="275" t="s">
        <v>3831</v>
      </c>
      <c r="D119" s="168" t="s">
        <v>4855</v>
      </c>
      <c r="E119" s="168" t="s">
        <v>2271</v>
      </c>
      <c r="F119" s="168" t="s">
        <v>4623</v>
      </c>
      <c r="G119" s="168" t="s">
        <v>4623</v>
      </c>
      <c r="H119" s="292" t="s">
        <v>4623</v>
      </c>
      <c r="I119" s="293" t="s">
        <v>4623</v>
      </c>
      <c r="J119" s="293" t="s">
        <v>4623</v>
      </c>
      <c r="K119" s="290" t="s">
        <v>4623</v>
      </c>
      <c r="L119" s="290" t="s">
        <v>4623</v>
      </c>
      <c r="M119" s="290" t="s">
        <v>4623</v>
      </c>
      <c r="N119" s="290" t="s">
        <v>4623</v>
      </c>
      <c r="O119" s="290" t="s">
        <v>4623</v>
      </c>
      <c r="P119" s="290" t="s">
        <v>999</v>
      </c>
      <c r="Q119" s="291" t="s">
        <v>4623</v>
      </c>
      <c r="R119" s="276"/>
      <c r="S119" s="277">
        <f>IF(OR(C119="",C119=T$4),NA(),MATCH($B119&amp;$C119,'Smelter Reference List'!$J:$J,0))</f>
        <v>222</v>
      </c>
      <c r="T119" s="278"/>
      <c r="U119" s="278"/>
      <c r="V119" s="278"/>
      <c r="W119" s="278"/>
    </row>
    <row r="120" spans="1:23" s="269" customFormat="1" ht="20.25">
      <c r="A120" s="267"/>
      <c r="B120" s="275" t="s">
        <v>2436</v>
      </c>
      <c r="C120" s="275" t="s">
        <v>3831</v>
      </c>
      <c r="D120" s="168" t="s">
        <v>4856</v>
      </c>
      <c r="E120" s="168" t="s">
        <v>2271</v>
      </c>
      <c r="F120" s="168" t="s">
        <v>4623</v>
      </c>
      <c r="G120" s="168" t="s">
        <v>4623</v>
      </c>
      <c r="H120" s="292" t="s">
        <v>4623</v>
      </c>
      <c r="I120" s="293" t="s">
        <v>4623</v>
      </c>
      <c r="J120" s="293" t="s">
        <v>4623</v>
      </c>
      <c r="K120" s="290" t="s">
        <v>4623</v>
      </c>
      <c r="L120" s="290" t="s">
        <v>4623</v>
      </c>
      <c r="M120" s="290" t="s">
        <v>4623</v>
      </c>
      <c r="N120" s="290" t="s">
        <v>4623</v>
      </c>
      <c r="O120" s="290" t="s">
        <v>4623</v>
      </c>
      <c r="P120" s="290" t="s">
        <v>999</v>
      </c>
      <c r="Q120" s="291" t="s">
        <v>4623</v>
      </c>
      <c r="R120" s="276"/>
      <c r="S120" s="277">
        <f>IF(OR(C120="",C120=T$4),NA(),MATCH($B120&amp;$C120,'Smelter Reference List'!$J:$J,0))</f>
        <v>222</v>
      </c>
      <c r="T120" s="278"/>
      <c r="U120" s="278"/>
      <c r="V120" s="278"/>
      <c r="W120" s="278"/>
    </row>
    <row r="121" spans="1:23" s="269" customFormat="1" ht="20.25">
      <c r="A121" s="267"/>
      <c r="B121" s="275" t="s">
        <v>2436</v>
      </c>
      <c r="C121" s="275" t="s">
        <v>3831</v>
      </c>
      <c r="D121" s="168" t="s">
        <v>4857</v>
      </c>
      <c r="E121" s="168" t="s">
        <v>2271</v>
      </c>
      <c r="F121" s="168" t="s">
        <v>4623</v>
      </c>
      <c r="G121" s="168" t="s">
        <v>4623</v>
      </c>
      <c r="H121" s="292" t="s">
        <v>4623</v>
      </c>
      <c r="I121" s="293" t="s">
        <v>4623</v>
      </c>
      <c r="J121" s="293" t="s">
        <v>4623</v>
      </c>
      <c r="K121" s="290" t="s">
        <v>4623</v>
      </c>
      <c r="L121" s="290" t="s">
        <v>4623</v>
      </c>
      <c r="M121" s="290" t="s">
        <v>4623</v>
      </c>
      <c r="N121" s="290" t="s">
        <v>4623</v>
      </c>
      <c r="O121" s="290" t="s">
        <v>4623</v>
      </c>
      <c r="P121" s="290" t="s">
        <v>999</v>
      </c>
      <c r="Q121" s="291" t="s">
        <v>4623</v>
      </c>
      <c r="R121" s="276"/>
      <c r="S121" s="277">
        <f>IF(OR(C121="",C121=T$4),NA(),MATCH($B121&amp;$C121,'Smelter Reference List'!$J:$J,0))</f>
        <v>222</v>
      </c>
      <c r="T121" s="278"/>
      <c r="U121" s="278"/>
      <c r="V121" s="278"/>
      <c r="W121" s="278"/>
    </row>
    <row r="122" spans="1:23" s="269" customFormat="1" ht="20.25">
      <c r="A122" s="267"/>
      <c r="B122" s="275" t="s">
        <v>2436</v>
      </c>
      <c r="C122" s="275" t="s">
        <v>3831</v>
      </c>
      <c r="D122" s="168" t="s">
        <v>4858</v>
      </c>
      <c r="E122" s="168" t="s">
        <v>2271</v>
      </c>
      <c r="F122" s="168" t="s">
        <v>4623</v>
      </c>
      <c r="G122" s="168" t="s">
        <v>4623</v>
      </c>
      <c r="H122" s="292" t="s">
        <v>4859</v>
      </c>
      <c r="I122" s="293" t="s">
        <v>3524</v>
      </c>
      <c r="J122" s="293" t="s">
        <v>4623</v>
      </c>
      <c r="K122" s="290" t="s">
        <v>4860</v>
      </c>
      <c r="L122" s="290" t="s">
        <v>4623</v>
      </c>
      <c r="M122" s="290" t="s">
        <v>4623</v>
      </c>
      <c r="N122" s="290" t="s">
        <v>4671</v>
      </c>
      <c r="O122" s="290" t="s">
        <v>4623</v>
      </c>
      <c r="P122" s="290" t="s">
        <v>999</v>
      </c>
      <c r="Q122" s="291" t="s">
        <v>4623</v>
      </c>
      <c r="R122" s="276"/>
      <c r="S122" s="277">
        <f>IF(OR(C122="",C122=T$4),NA(),MATCH($B122&amp;$C122,'Smelter Reference List'!$J:$J,0))</f>
        <v>222</v>
      </c>
      <c r="T122" s="278"/>
      <c r="U122" s="278"/>
      <c r="V122" s="278"/>
      <c r="W122" s="278"/>
    </row>
    <row r="123" spans="1:23" s="269" customFormat="1" ht="20.25">
      <c r="A123" s="267"/>
      <c r="B123" s="275" t="s">
        <v>2436</v>
      </c>
      <c r="C123" s="275" t="s">
        <v>3831</v>
      </c>
      <c r="D123" s="168" t="s">
        <v>4861</v>
      </c>
      <c r="E123" s="168" t="s">
        <v>2271</v>
      </c>
      <c r="F123" s="168" t="s">
        <v>4623</v>
      </c>
      <c r="G123" s="168" t="s">
        <v>4623</v>
      </c>
      <c r="H123" s="292" t="s">
        <v>4862</v>
      </c>
      <c r="I123" s="293" t="s">
        <v>4623</v>
      </c>
      <c r="J123" s="293" t="s">
        <v>4623</v>
      </c>
      <c r="K123" s="290" t="s">
        <v>4863</v>
      </c>
      <c r="L123" s="290" t="s">
        <v>4864</v>
      </c>
      <c r="M123" s="290" t="s">
        <v>4623</v>
      </c>
      <c r="N123" s="290" t="s">
        <v>4623</v>
      </c>
      <c r="O123" s="290" t="s">
        <v>4623</v>
      </c>
      <c r="P123" s="290" t="s">
        <v>999</v>
      </c>
      <c r="Q123" s="291" t="s">
        <v>4623</v>
      </c>
      <c r="R123" s="276"/>
      <c r="S123" s="277">
        <f>IF(OR(C123="",C123=T$4),NA(),MATCH($B123&amp;$C123,'Smelter Reference List'!$J:$J,0))</f>
        <v>222</v>
      </c>
      <c r="T123" s="278"/>
      <c r="U123" s="278"/>
      <c r="V123" s="278"/>
      <c r="W123" s="278"/>
    </row>
    <row r="124" spans="1:23" s="269" customFormat="1" ht="20.25">
      <c r="A124" s="267"/>
      <c r="B124" s="275" t="s">
        <v>2436</v>
      </c>
      <c r="C124" s="275" t="s">
        <v>3831</v>
      </c>
      <c r="D124" s="168" t="s">
        <v>4865</v>
      </c>
      <c r="E124" s="168" t="s">
        <v>2271</v>
      </c>
      <c r="F124" s="168" t="s">
        <v>4623</v>
      </c>
      <c r="G124" s="168" t="s">
        <v>4623</v>
      </c>
      <c r="H124" s="292" t="s">
        <v>4623</v>
      </c>
      <c r="I124" s="293" t="s">
        <v>4623</v>
      </c>
      <c r="J124" s="293" t="s">
        <v>4623</v>
      </c>
      <c r="K124" s="290" t="s">
        <v>4623</v>
      </c>
      <c r="L124" s="290" t="s">
        <v>4623</v>
      </c>
      <c r="M124" s="290" t="s">
        <v>4623</v>
      </c>
      <c r="N124" s="290" t="s">
        <v>4623</v>
      </c>
      <c r="O124" s="290" t="s">
        <v>4623</v>
      </c>
      <c r="P124" s="290" t="s">
        <v>999</v>
      </c>
      <c r="Q124" s="291" t="s">
        <v>4623</v>
      </c>
      <c r="R124" s="276"/>
      <c r="S124" s="277">
        <f>IF(OR(C124="",C124=T$4),NA(),MATCH($B124&amp;$C124,'Smelter Reference List'!$J:$J,0))</f>
        <v>222</v>
      </c>
      <c r="T124" s="278"/>
      <c r="U124" s="278"/>
      <c r="V124" s="278"/>
      <c r="W124" s="278"/>
    </row>
    <row r="125" spans="1:23" s="269" customFormat="1" ht="20.25">
      <c r="A125" s="267"/>
      <c r="B125" s="275" t="s">
        <v>2436</v>
      </c>
      <c r="C125" s="275" t="s">
        <v>3831</v>
      </c>
      <c r="D125" s="168" t="s">
        <v>4866</v>
      </c>
      <c r="E125" s="168" t="s">
        <v>2282</v>
      </c>
      <c r="F125" s="168" t="s">
        <v>4623</v>
      </c>
      <c r="G125" s="168" t="s">
        <v>4623</v>
      </c>
      <c r="H125" s="292" t="s">
        <v>4867</v>
      </c>
      <c r="I125" s="293" t="s">
        <v>4868</v>
      </c>
      <c r="J125" s="293" t="s">
        <v>4868</v>
      </c>
      <c r="K125" s="290" t="s">
        <v>4623</v>
      </c>
      <c r="L125" s="290" t="s">
        <v>4869</v>
      </c>
      <c r="M125" s="290" t="s">
        <v>4623</v>
      </c>
      <c r="N125" s="290" t="s">
        <v>4868</v>
      </c>
      <c r="O125" s="290" t="s">
        <v>4623</v>
      </c>
      <c r="P125" s="290" t="s">
        <v>999</v>
      </c>
      <c r="Q125" s="291" t="s">
        <v>4623</v>
      </c>
      <c r="R125" s="276"/>
      <c r="S125" s="277">
        <f>IF(OR(C125="",C125=T$4),NA(),MATCH($B125&amp;$C125,'Smelter Reference List'!$J:$J,0))</f>
        <v>222</v>
      </c>
      <c r="T125" s="278"/>
      <c r="U125" s="278"/>
      <c r="V125" s="278"/>
      <c r="W125" s="278"/>
    </row>
    <row r="126" spans="1:23" s="269" customFormat="1" ht="20.25">
      <c r="A126" s="267"/>
      <c r="B126" s="275" t="s">
        <v>2436</v>
      </c>
      <c r="C126" s="275" t="s">
        <v>3831</v>
      </c>
      <c r="D126" s="168" t="s">
        <v>4870</v>
      </c>
      <c r="E126" s="168" t="s">
        <v>2282</v>
      </c>
      <c r="F126" s="168" t="s">
        <v>4623</v>
      </c>
      <c r="G126" s="168" t="s">
        <v>4623</v>
      </c>
      <c r="H126" s="292" t="s">
        <v>4623</v>
      </c>
      <c r="I126" s="293" t="s">
        <v>4623</v>
      </c>
      <c r="J126" s="293" t="s">
        <v>4623</v>
      </c>
      <c r="K126" s="290" t="s">
        <v>4623</v>
      </c>
      <c r="L126" s="290" t="s">
        <v>4623</v>
      </c>
      <c r="M126" s="290" t="s">
        <v>4623</v>
      </c>
      <c r="N126" s="290" t="s">
        <v>4623</v>
      </c>
      <c r="O126" s="290" t="s">
        <v>4623</v>
      </c>
      <c r="P126" s="290" t="s">
        <v>999</v>
      </c>
      <c r="Q126" s="291" t="s">
        <v>4623</v>
      </c>
      <c r="R126" s="276"/>
      <c r="S126" s="277">
        <f>IF(OR(C126="",C126=T$4),NA(),MATCH($B126&amp;$C126,'Smelter Reference List'!$J:$J,0))</f>
        <v>222</v>
      </c>
      <c r="T126" s="278"/>
      <c r="U126" s="278"/>
      <c r="V126" s="278"/>
      <c r="W126" s="278"/>
    </row>
    <row r="127" spans="1:23" s="269" customFormat="1" ht="20.25">
      <c r="A127" s="267"/>
      <c r="B127" s="275" t="s">
        <v>2436</v>
      </c>
      <c r="C127" s="275" t="s">
        <v>3831</v>
      </c>
      <c r="D127" s="168" t="s">
        <v>4871</v>
      </c>
      <c r="E127" s="168" t="s">
        <v>2282</v>
      </c>
      <c r="F127" s="168" t="s">
        <v>4623</v>
      </c>
      <c r="G127" s="168" t="s">
        <v>4623</v>
      </c>
      <c r="H127" s="292" t="s">
        <v>4623</v>
      </c>
      <c r="I127" s="293" t="s">
        <v>4623</v>
      </c>
      <c r="J127" s="293" t="s">
        <v>4623</v>
      </c>
      <c r="K127" s="290" t="s">
        <v>4623</v>
      </c>
      <c r="L127" s="290" t="s">
        <v>4623</v>
      </c>
      <c r="M127" s="290" t="s">
        <v>4623</v>
      </c>
      <c r="N127" s="290" t="s">
        <v>4623</v>
      </c>
      <c r="O127" s="290" t="s">
        <v>4623</v>
      </c>
      <c r="P127" s="290" t="s">
        <v>999</v>
      </c>
      <c r="Q127" s="291" t="s">
        <v>4623</v>
      </c>
      <c r="R127" s="276"/>
      <c r="S127" s="277">
        <f>IF(OR(C127="",C127=T$4),NA(),MATCH($B127&amp;$C127,'Smelter Reference List'!$J:$J,0))</f>
        <v>222</v>
      </c>
      <c r="T127" s="278"/>
      <c r="U127" s="278"/>
      <c r="V127" s="278"/>
      <c r="W127" s="278"/>
    </row>
    <row r="128" spans="1:23" s="269" customFormat="1" ht="20.25">
      <c r="A128" s="267"/>
      <c r="B128" s="275" t="s">
        <v>2436</v>
      </c>
      <c r="C128" s="275" t="s">
        <v>3831</v>
      </c>
      <c r="D128" s="168" t="s">
        <v>4872</v>
      </c>
      <c r="E128" s="168" t="s">
        <v>2283</v>
      </c>
      <c r="F128" s="168" t="s">
        <v>4623</v>
      </c>
      <c r="G128" s="168" t="s">
        <v>4623</v>
      </c>
      <c r="H128" s="292" t="s">
        <v>4623</v>
      </c>
      <c r="I128" s="293" t="s">
        <v>4623</v>
      </c>
      <c r="J128" s="293" t="s">
        <v>4873</v>
      </c>
      <c r="K128" s="290" t="s">
        <v>4623</v>
      </c>
      <c r="L128" s="290" t="s">
        <v>4623</v>
      </c>
      <c r="M128" s="290" t="s">
        <v>4874</v>
      </c>
      <c r="N128" s="290" t="s">
        <v>4623</v>
      </c>
      <c r="O128" s="290" t="s">
        <v>4623</v>
      </c>
      <c r="P128" s="290" t="s">
        <v>999</v>
      </c>
      <c r="Q128" s="291" t="s">
        <v>4623</v>
      </c>
      <c r="R128" s="276"/>
      <c r="S128" s="277">
        <f>IF(OR(C128="",C128=T$4),NA(),MATCH($B128&amp;$C128,'Smelter Reference List'!$J:$J,0))</f>
        <v>222</v>
      </c>
      <c r="T128" s="278"/>
      <c r="U128" s="278"/>
      <c r="V128" s="278"/>
      <c r="W128" s="278"/>
    </row>
    <row r="129" spans="1:23" s="269" customFormat="1" ht="20.25">
      <c r="A129" s="267"/>
      <c r="B129" s="275" t="s">
        <v>2436</v>
      </c>
      <c r="C129" s="275" t="s">
        <v>3831</v>
      </c>
      <c r="D129" s="168" t="s">
        <v>4875</v>
      </c>
      <c r="E129" s="168" t="s">
        <v>2283</v>
      </c>
      <c r="F129" s="168" t="s">
        <v>4623</v>
      </c>
      <c r="G129" s="168" t="s">
        <v>4623</v>
      </c>
      <c r="H129" s="292" t="s">
        <v>4623</v>
      </c>
      <c r="I129" s="293" t="s">
        <v>4623</v>
      </c>
      <c r="J129" s="293" t="s">
        <v>4623</v>
      </c>
      <c r="K129" s="290" t="s">
        <v>4623</v>
      </c>
      <c r="L129" s="290" t="s">
        <v>4623</v>
      </c>
      <c r="M129" s="290" t="s">
        <v>4623</v>
      </c>
      <c r="N129" s="290" t="s">
        <v>4623</v>
      </c>
      <c r="O129" s="290" t="s">
        <v>4623</v>
      </c>
      <c r="P129" s="290" t="s">
        <v>999</v>
      </c>
      <c r="Q129" s="291" t="s">
        <v>4623</v>
      </c>
      <c r="R129" s="276"/>
      <c r="S129" s="277">
        <f>IF(OR(C129="",C129=T$4),NA(),MATCH($B129&amp;$C129,'Smelter Reference List'!$J:$J,0))</f>
        <v>222</v>
      </c>
      <c r="T129" s="278"/>
      <c r="U129" s="278"/>
      <c r="V129" s="278"/>
      <c r="W129" s="278"/>
    </row>
    <row r="130" spans="1:23" s="269" customFormat="1" ht="20.25">
      <c r="A130" s="267"/>
      <c r="B130" s="275" t="s">
        <v>2436</v>
      </c>
      <c r="C130" s="275" t="s">
        <v>3831</v>
      </c>
      <c r="D130" s="168" t="s">
        <v>4391</v>
      </c>
      <c r="E130" s="168" t="s">
        <v>2283</v>
      </c>
      <c r="F130" s="168" t="s">
        <v>4623</v>
      </c>
      <c r="G130" s="168" t="s">
        <v>4623</v>
      </c>
      <c r="H130" s="292" t="s">
        <v>4876</v>
      </c>
      <c r="I130" s="293" t="s">
        <v>3665</v>
      </c>
      <c r="J130" s="293" t="s">
        <v>3666</v>
      </c>
      <c r="K130" s="290" t="s">
        <v>4623</v>
      </c>
      <c r="L130" s="290" t="s">
        <v>4877</v>
      </c>
      <c r="M130" s="290" t="s">
        <v>4623</v>
      </c>
      <c r="N130" s="290" t="s">
        <v>4623</v>
      </c>
      <c r="O130" s="290" t="s">
        <v>4623</v>
      </c>
      <c r="P130" s="290" t="s">
        <v>999</v>
      </c>
      <c r="Q130" s="291" t="s">
        <v>4623</v>
      </c>
      <c r="R130" s="276"/>
      <c r="S130" s="277">
        <f>IF(OR(C130="",C130=T$4),NA(),MATCH($B130&amp;$C130,'Smelter Reference List'!$J:$J,0))</f>
        <v>222</v>
      </c>
      <c r="T130" s="278"/>
      <c r="U130" s="278"/>
      <c r="V130" s="278"/>
      <c r="W130" s="278"/>
    </row>
    <row r="131" spans="1:23" s="269" customFormat="1" ht="20.25">
      <c r="A131" s="267"/>
      <c r="B131" s="275" t="s">
        <v>2436</v>
      </c>
      <c r="C131" s="275" t="s">
        <v>3831</v>
      </c>
      <c r="D131" s="168" t="s">
        <v>4878</v>
      </c>
      <c r="E131" s="168" t="s">
        <v>2283</v>
      </c>
      <c r="F131" s="168" t="s">
        <v>4623</v>
      </c>
      <c r="G131" s="168" t="s">
        <v>4623</v>
      </c>
      <c r="H131" s="292" t="s">
        <v>4623</v>
      </c>
      <c r="I131" s="293" t="s">
        <v>4623</v>
      </c>
      <c r="J131" s="293" t="s">
        <v>4623</v>
      </c>
      <c r="K131" s="290" t="s">
        <v>4623</v>
      </c>
      <c r="L131" s="290" t="s">
        <v>4804</v>
      </c>
      <c r="M131" s="290" t="s">
        <v>4874</v>
      </c>
      <c r="N131" s="290" t="s">
        <v>4623</v>
      </c>
      <c r="O131" s="290" t="s">
        <v>4623</v>
      </c>
      <c r="P131" s="290" t="s">
        <v>999</v>
      </c>
      <c r="Q131" s="291" t="s">
        <v>4623</v>
      </c>
      <c r="R131" s="276"/>
      <c r="S131" s="277">
        <f>IF(OR(C131="",C131=T$4),NA(),MATCH($B131&amp;$C131,'Smelter Reference List'!$J:$J,0))</f>
        <v>222</v>
      </c>
      <c r="T131" s="278"/>
      <c r="U131" s="278"/>
      <c r="V131" s="278"/>
      <c r="W131" s="278"/>
    </row>
    <row r="132" spans="1:23" s="269" customFormat="1" ht="20.25">
      <c r="A132" s="267"/>
      <c r="B132" s="275" t="s">
        <v>2436</v>
      </c>
      <c r="C132" s="275" t="s">
        <v>3831</v>
      </c>
      <c r="D132" s="168" t="s">
        <v>4879</v>
      </c>
      <c r="E132" s="168" t="s">
        <v>2283</v>
      </c>
      <c r="F132" s="168" t="s">
        <v>4623</v>
      </c>
      <c r="G132" s="168" t="s">
        <v>4623</v>
      </c>
      <c r="H132" s="292" t="s">
        <v>4623</v>
      </c>
      <c r="I132" s="293" t="s">
        <v>4623</v>
      </c>
      <c r="J132" s="293" t="s">
        <v>4623</v>
      </c>
      <c r="K132" s="290" t="s">
        <v>4623</v>
      </c>
      <c r="L132" s="290" t="s">
        <v>4623</v>
      </c>
      <c r="M132" s="290" t="s">
        <v>4623</v>
      </c>
      <c r="N132" s="290" t="s">
        <v>4623</v>
      </c>
      <c r="O132" s="290" t="s">
        <v>4623</v>
      </c>
      <c r="P132" s="290" t="s">
        <v>999</v>
      </c>
      <c r="Q132" s="291" t="s">
        <v>4623</v>
      </c>
      <c r="R132" s="276"/>
      <c r="S132" s="277">
        <f>IF(OR(C132="",C132=T$4),NA(),MATCH($B132&amp;$C132,'Smelter Reference List'!$J:$J,0))</f>
        <v>222</v>
      </c>
      <c r="T132" s="278"/>
      <c r="U132" s="278"/>
      <c r="V132" s="278"/>
      <c r="W132" s="278"/>
    </row>
    <row r="133" spans="1:23" s="269" customFormat="1" ht="20.25">
      <c r="A133" s="267"/>
      <c r="B133" s="275" t="s">
        <v>2436</v>
      </c>
      <c r="C133" s="275" t="s">
        <v>3831</v>
      </c>
      <c r="D133" s="168" t="s">
        <v>4880</v>
      </c>
      <c r="E133" s="168" t="s">
        <v>2283</v>
      </c>
      <c r="F133" s="168" t="s">
        <v>4623</v>
      </c>
      <c r="G133" s="168" t="s">
        <v>4623</v>
      </c>
      <c r="H133" s="292" t="s">
        <v>4623</v>
      </c>
      <c r="I133" s="293" t="s">
        <v>4623</v>
      </c>
      <c r="J133" s="293" t="s">
        <v>4623</v>
      </c>
      <c r="K133" s="290" t="s">
        <v>4623</v>
      </c>
      <c r="L133" s="290" t="s">
        <v>4623</v>
      </c>
      <c r="M133" s="290" t="s">
        <v>4623</v>
      </c>
      <c r="N133" s="290" t="s">
        <v>4623</v>
      </c>
      <c r="O133" s="290" t="s">
        <v>4623</v>
      </c>
      <c r="P133" s="290" t="s">
        <v>999</v>
      </c>
      <c r="Q133" s="291" t="s">
        <v>4623</v>
      </c>
      <c r="R133" s="276"/>
      <c r="S133" s="277">
        <f>IF(OR(C133="",C133=T$4),NA(),MATCH($B133&amp;$C133,'Smelter Reference List'!$J:$J,0))</f>
        <v>222</v>
      </c>
      <c r="T133" s="278"/>
      <c r="U133" s="278"/>
      <c r="V133" s="278"/>
      <c r="W133" s="278"/>
    </row>
    <row r="134" spans="1:23" s="269" customFormat="1" ht="20.25">
      <c r="A134" s="267"/>
      <c r="B134" s="275" t="s">
        <v>2436</v>
      </c>
      <c r="C134" s="275" t="s">
        <v>3831</v>
      </c>
      <c r="D134" s="168" t="s">
        <v>4855</v>
      </c>
      <c r="E134" s="168" t="s">
        <v>2283</v>
      </c>
      <c r="F134" s="168" t="s">
        <v>4623</v>
      </c>
      <c r="G134" s="168" t="s">
        <v>4623</v>
      </c>
      <c r="H134" s="292" t="s">
        <v>4623</v>
      </c>
      <c r="I134" s="293" t="s">
        <v>4623</v>
      </c>
      <c r="J134" s="293" t="s">
        <v>4623</v>
      </c>
      <c r="K134" s="290" t="s">
        <v>4623</v>
      </c>
      <c r="L134" s="290" t="s">
        <v>4623</v>
      </c>
      <c r="M134" s="290" t="s">
        <v>4623</v>
      </c>
      <c r="N134" s="290" t="s">
        <v>4623</v>
      </c>
      <c r="O134" s="290" t="s">
        <v>4623</v>
      </c>
      <c r="P134" s="290" t="s">
        <v>999</v>
      </c>
      <c r="Q134" s="291" t="s">
        <v>4623</v>
      </c>
      <c r="R134" s="276"/>
      <c r="S134" s="277">
        <f>IF(OR(C134="",C134=T$4),NA(),MATCH($B134&amp;$C134,'Smelter Reference List'!$J:$J,0))</f>
        <v>222</v>
      </c>
      <c r="T134" s="278"/>
      <c r="U134" s="278"/>
      <c r="V134" s="278"/>
      <c r="W134" s="278"/>
    </row>
    <row r="135" spans="1:23" s="269" customFormat="1" ht="20.25">
      <c r="A135" s="267"/>
      <c r="B135" s="275" t="s">
        <v>2436</v>
      </c>
      <c r="C135" s="275" t="s">
        <v>3831</v>
      </c>
      <c r="D135" s="168" t="s">
        <v>2064</v>
      </c>
      <c r="E135" s="168" t="s">
        <v>2283</v>
      </c>
      <c r="F135" s="168" t="s">
        <v>4623</v>
      </c>
      <c r="G135" s="168" t="s">
        <v>4623</v>
      </c>
      <c r="H135" s="292" t="s">
        <v>4623</v>
      </c>
      <c r="I135" s="293" t="s">
        <v>4623</v>
      </c>
      <c r="J135" s="293" t="s">
        <v>4623</v>
      </c>
      <c r="K135" s="290" t="s">
        <v>4623</v>
      </c>
      <c r="L135" s="290" t="s">
        <v>4623</v>
      </c>
      <c r="M135" s="290" t="s">
        <v>4623</v>
      </c>
      <c r="N135" s="290" t="s">
        <v>4623</v>
      </c>
      <c r="O135" s="290" t="s">
        <v>4623</v>
      </c>
      <c r="P135" s="290" t="s">
        <v>999</v>
      </c>
      <c r="Q135" s="291" t="s">
        <v>4623</v>
      </c>
      <c r="R135" s="276"/>
      <c r="S135" s="277">
        <f>IF(OR(C135="",C135=T$4),NA(),MATCH($B135&amp;$C135,'Smelter Reference List'!$J:$J,0))</f>
        <v>222</v>
      </c>
      <c r="T135" s="278"/>
      <c r="U135" s="278"/>
      <c r="V135" s="278"/>
      <c r="W135" s="278"/>
    </row>
    <row r="136" spans="1:23" s="269" customFormat="1" ht="20.25">
      <c r="A136" s="267"/>
      <c r="B136" s="275" t="s">
        <v>2436</v>
      </c>
      <c r="C136" s="275" t="s">
        <v>3831</v>
      </c>
      <c r="D136" s="168" t="s">
        <v>4881</v>
      </c>
      <c r="E136" s="168" t="s">
        <v>2283</v>
      </c>
      <c r="F136" s="168" t="s">
        <v>4623</v>
      </c>
      <c r="G136" s="168" t="s">
        <v>4623</v>
      </c>
      <c r="H136" s="292" t="s">
        <v>4623</v>
      </c>
      <c r="I136" s="293" t="s">
        <v>4623</v>
      </c>
      <c r="J136" s="293" t="s">
        <v>4623</v>
      </c>
      <c r="K136" s="290" t="s">
        <v>4882</v>
      </c>
      <c r="L136" s="290" t="s">
        <v>4623</v>
      </c>
      <c r="M136" s="290" t="s">
        <v>4623</v>
      </c>
      <c r="N136" s="290" t="s">
        <v>4623</v>
      </c>
      <c r="O136" s="290" t="s">
        <v>4623</v>
      </c>
      <c r="P136" s="290" t="s">
        <v>999</v>
      </c>
      <c r="Q136" s="291" t="s">
        <v>4623</v>
      </c>
      <c r="R136" s="276"/>
      <c r="S136" s="277">
        <f>IF(OR(C136="",C136=T$4),NA(),MATCH($B136&amp;$C136,'Smelter Reference List'!$J:$J,0))</f>
        <v>222</v>
      </c>
      <c r="T136" s="278"/>
      <c r="U136" s="278"/>
      <c r="V136" s="278"/>
      <c r="W136" s="278"/>
    </row>
    <row r="137" spans="1:23" s="269" customFormat="1" ht="20.25">
      <c r="A137" s="267"/>
      <c r="B137" s="275" t="s">
        <v>2436</v>
      </c>
      <c r="C137" s="275" t="s">
        <v>3831</v>
      </c>
      <c r="D137" s="168" t="s">
        <v>4883</v>
      </c>
      <c r="E137" s="168" t="s">
        <v>2283</v>
      </c>
      <c r="F137" s="168" t="s">
        <v>4623</v>
      </c>
      <c r="G137" s="168" t="s">
        <v>4623</v>
      </c>
      <c r="H137" s="292" t="s">
        <v>4623</v>
      </c>
      <c r="I137" s="293" t="s">
        <v>4623</v>
      </c>
      <c r="J137" s="293" t="s">
        <v>4884</v>
      </c>
      <c r="K137" s="290" t="s">
        <v>4623</v>
      </c>
      <c r="L137" s="290" t="s">
        <v>4623</v>
      </c>
      <c r="M137" s="290" t="s">
        <v>4885</v>
      </c>
      <c r="N137" s="290" t="s">
        <v>4623</v>
      </c>
      <c r="O137" s="290" t="s">
        <v>4623</v>
      </c>
      <c r="P137" s="290" t="s">
        <v>999</v>
      </c>
      <c r="Q137" s="291" t="s">
        <v>4623</v>
      </c>
      <c r="R137" s="276"/>
      <c r="S137" s="277">
        <f>IF(OR(C137="",C137=T$4),NA(),MATCH($B137&amp;$C137,'Smelter Reference List'!$J:$J,0))</f>
        <v>222</v>
      </c>
      <c r="T137" s="278"/>
      <c r="U137" s="278"/>
      <c r="V137" s="278"/>
      <c r="W137" s="278"/>
    </row>
    <row r="138" spans="1:23" s="269" customFormat="1" ht="20.25">
      <c r="A138" s="267"/>
      <c r="B138" s="275" t="s">
        <v>2436</v>
      </c>
      <c r="C138" s="275" t="s">
        <v>3831</v>
      </c>
      <c r="D138" s="168" t="s">
        <v>4886</v>
      </c>
      <c r="E138" s="168" t="s">
        <v>2283</v>
      </c>
      <c r="F138" s="168" t="s">
        <v>1425</v>
      </c>
      <c r="G138" s="168" t="s">
        <v>4623</v>
      </c>
      <c r="H138" s="292" t="s">
        <v>4623</v>
      </c>
      <c r="I138" s="293" t="s">
        <v>4623</v>
      </c>
      <c r="J138" s="293" t="s">
        <v>4623</v>
      </c>
      <c r="K138" s="290" t="s">
        <v>4623</v>
      </c>
      <c r="L138" s="290" t="s">
        <v>4623</v>
      </c>
      <c r="M138" s="290" t="s">
        <v>4623</v>
      </c>
      <c r="N138" s="290" t="s">
        <v>4623</v>
      </c>
      <c r="O138" s="290" t="s">
        <v>4623</v>
      </c>
      <c r="P138" s="290" t="s">
        <v>999</v>
      </c>
      <c r="Q138" s="291" t="s">
        <v>4623</v>
      </c>
      <c r="R138" s="276"/>
      <c r="S138" s="277">
        <f>IF(OR(C138="",C138=T$4),NA(),MATCH($B138&amp;$C138,'Smelter Reference List'!$J:$J,0))</f>
        <v>222</v>
      </c>
      <c r="T138" s="278"/>
      <c r="U138" s="278"/>
      <c r="V138" s="278"/>
      <c r="W138" s="278"/>
    </row>
    <row r="139" spans="1:23" s="269" customFormat="1" ht="20.25">
      <c r="A139" s="267"/>
      <c r="B139" s="275" t="s">
        <v>2436</v>
      </c>
      <c r="C139" s="275" t="s">
        <v>3831</v>
      </c>
      <c r="D139" s="168" t="s">
        <v>4887</v>
      </c>
      <c r="E139" s="168" t="s">
        <v>2283</v>
      </c>
      <c r="F139" s="168" t="s">
        <v>4623</v>
      </c>
      <c r="G139" s="168" t="s">
        <v>4623</v>
      </c>
      <c r="H139" s="292" t="s">
        <v>4623</v>
      </c>
      <c r="I139" s="293" t="s">
        <v>4623</v>
      </c>
      <c r="J139" s="293" t="s">
        <v>4623</v>
      </c>
      <c r="K139" s="290" t="s">
        <v>4623</v>
      </c>
      <c r="L139" s="290" t="s">
        <v>4623</v>
      </c>
      <c r="M139" s="290" t="s">
        <v>4623</v>
      </c>
      <c r="N139" s="290" t="s">
        <v>4623</v>
      </c>
      <c r="O139" s="290" t="s">
        <v>4623</v>
      </c>
      <c r="P139" s="290" t="s">
        <v>999</v>
      </c>
      <c r="Q139" s="291" t="s">
        <v>4623</v>
      </c>
      <c r="R139" s="276"/>
      <c r="S139" s="277">
        <f>IF(OR(C139="",C139=T$4),NA(),MATCH($B139&amp;$C139,'Smelter Reference List'!$J:$J,0))</f>
        <v>222</v>
      </c>
      <c r="T139" s="278"/>
      <c r="U139" s="278"/>
      <c r="V139" s="278"/>
      <c r="W139" s="278"/>
    </row>
    <row r="140" spans="1:23" s="269" customFormat="1" ht="20.25">
      <c r="A140" s="267"/>
      <c r="B140" s="275" t="s">
        <v>2436</v>
      </c>
      <c r="C140" s="275" t="s">
        <v>3831</v>
      </c>
      <c r="D140" s="168" t="s">
        <v>4888</v>
      </c>
      <c r="E140" s="168" t="s">
        <v>2290</v>
      </c>
      <c r="F140" s="168" t="s">
        <v>4623</v>
      </c>
      <c r="G140" s="168" t="s">
        <v>4623</v>
      </c>
      <c r="H140" s="292" t="s">
        <v>4889</v>
      </c>
      <c r="I140" s="293" t="s">
        <v>4890</v>
      </c>
      <c r="J140" s="293" t="s">
        <v>3358</v>
      </c>
      <c r="K140" s="290" t="s">
        <v>4623</v>
      </c>
      <c r="L140" s="290" t="s">
        <v>4623</v>
      </c>
      <c r="M140" s="290" t="s">
        <v>4628</v>
      </c>
      <c r="N140" s="290" t="s">
        <v>4628</v>
      </c>
      <c r="O140" s="290" t="s">
        <v>4623</v>
      </c>
      <c r="P140" s="290" t="s">
        <v>999</v>
      </c>
      <c r="Q140" s="291" t="s">
        <v>4623</v>
      </c>
      <c r="R140" s="276"/>
      <c r="S140" s="277">
        <f>IF(OR(C140="",C140=T$4),NA(),MATCH($B140&amp;$C140,'Smelter Reference List'!$J:$J,0))</f>
        <v>222</v>
      </c>
      <c r="T140" s="278"/>
      <c r="U140" s="278"/>
      <c r="V140" s="278"/>
      <c r="W140" s="278"/>
    </row>
    <row r="141" spans="1:23" s="269" customFormat="1" ht="20.25">
      <c r="A141" s="267"/>
      <c r="B141" s="275" t="s">
        <v>2436</v>
      </c>
      <c r="C141" s="275" t="s">
        <v>3831</v>
      </c>
      <c r="D141" s="168" t="s">
        <v>4891</v>
      </c>
      <c r="E141" s="168" t="s">
        <v>2290</v>
      </c>
      <c r="F141" s="168" t="s">
        <v>1344</v>
      </c>
      <c r="G141" s="168" t="s">
        <v>3324</v>
      </c>
      <c r="H141" s="292" t="s">
        <v>4892</v>
      </c>
      <c r="I141" s="293" t="s">
        <v>3357</v>
      </c>
      <c r="J141" s="293" t="s">
        <v>3358</v>
      </c>
      <c r="K141" s="290" t="s">
        <v>4893</v>
      </c>
      <c r="L141" s="290" t="s">
        <v>4894</v>
      </c>
      <c r="M141" s="290" t="s">
        <v>4895</v>
      </c>
      <c r="N141" s="290" t="s">
        <v>4896</v>
      </c>
      <c r="O141" s="290" t="s">
        <v>4799</v>
      </c>
      <c r="P141" s="290" t="s">
        <v>999</v>
      </c>
      <c r="Q141" s="291" t="s">
        <v>4897</v>
      </c>
      <c r="R141" s="276"/>
      <c r="S141" s="277">
        <f>IF(OR(C141="",C141=T$4),NA(),MATCH($B141&amp;$C141,'Smelter Reference List'!$J:$J,0))</f>
        <v>222</v>
      </c>
      <c r="T141" s="278"/>
      <c r="U141" s="278"/>
      <c r="V141" s="278"/>
      <c r="W141" s="278"/>
    </row>
    <row r="142" spans="1:23" s="269" customFormat="1" ht="20.25">
      <c r="A142" s="267"/>
      <c r="B142" s="275" t="s">
        <v>2436</v>
      </c>
      <c r="C142" s="275" t="s">
        <v>3831</v>
      </c>
      <c r="D142" s="168" t="s">
        <v>4898</v>
      </c>
      <c r="E142" s="168" t="s">
        <v>2290</v>
      </c>
      <c r="F142" s="168" t="s">
        <v>4623</v>
      </c>
      <c r="G142" s="168" t="s">
        <v>4623</v>
      </c>
      <c r="H142" s="292" t="s">
        <v>4623</v>
      </c>
      <c r="I142" s="293" t="s">
        <v>4623</v>
      </c>
      <c r="J142" s="293" t="s">
        <v>4623</v>
      </c>
      <c r="K142" s="290" t="s">
        <v>4623</v>
      </c>
      <c r="L142" s="290" t="s">
        <v>4623</v>
      </c>
      <c r="M142" s="290" t="s">
        <v>4623</v>
      </c>
      <c r="N142" s="290" t="s">
        <v>4623</v>
      </c>
      <c r="O142" s="290" t="s">
        <v>4623</v>
      </c>
      <c r="P142" s="290" t="s">
        <v>999</v>
      </c>
      <c r="Q142" s="291" t="s">
        <v>4623</v>
      </c>
      <c r="R142" s="276"/>
      <c r="S142" s="277">
        <f>IF(OR(C142="",C142=T$4),NA(),MATCH($B142&amp;$C142,'Smelter Reference List'!$J:$J,0))</f>
        <v>222</v>
      </c>
      <c r="T142" s="278"/>
      <c r="U142" s="278"/>
      <c r="V142" s="278"/>
      <c r="W142" s="278"/>
    </row>
    <row r="143" spans="1:23" s="269" customFormat="1" ht="20.25">
      <c r="A143" s="267"/>
      <c r="B143" s="275" t="s">
        <v>2436</v>
      </c>
      <c r="C143" s="275" t="s">
        <v>3831</v>
      </c>
      <c r="D143" s="168" t="s">
        <v>4899</v>
      </c>
      <c r="E143" s="168" t="s">
        <v>2290</v>
      </c>
      <c r="F143" s="168" t="s">
        <v>4623</v>
      </c>
      <c r="G143" s="168" t="s">
        <v>4623</v>
      </c>
      <c r="H143" s="292" t="s">
        <v>4623</v>
      </c>
      <c r="I143" s="293" t="s">
        <v>4623</v>
      </c>
      <c r="J143" s="293" t="s">
        <v>4623</v>
      </c>
      <c r="K143" s="290" t="s">
        <v>4623</v>
      </c>
      <c r="L143" s="290" t="s">
        <v>4623</v>
      </c>
      <c r="M143" s="290" t="s">
        <v>4623</v>
      </c>
      <c r="N143" s="290" t="s">
        <v>4623</v>
      </c>
      <c r="O143" s="290" t="s">
        <v>4623</v>
      </c>
      <c r="P143" s="290" t="s">
        <v>999</v>
      </c>
      <c r="Q143" s="291" t="s">
        <v>4623</v>
      </c>
      <c r="R143" s="276"/>
      <c r="S143" s="277">
        <f>IF(OR(C143="",C143=T$4),NA(),MATCH($B143&amp;$C143,'Smelter Reference List'!$J:$J,0))</f>
        <v>222</v>
      </c>
      <c r="T143" s="278"/>
      <c r="U143" s="278"/>
      <c r="V143" s="278"/>
      <c r="W143" s="278"/>
    </row>
    <row r="144" spans="1:23" s="269" customFormat="1" ht="20.25">
      <c r="A144" s="267"/>
      <c r="B144" s="275" t="s">
        <v>2436</v>
      </c>
      <c r="C144" s="275" t="s">
        <v>3831</v>
      </c>
      <c r="D144" s="168" t="s">
        <v>4900</v>
      </c>
      <c r="E144" s="168" t="s">
        <v>2290</v>
      </c>
      <c r="F144" s="168" t="s">
        <v>4623</v>
      </c>
      <c r="G144" s="168" t="s">
        <v>4623</v>
      </c>
      <c r="H144" s="292" t="s">
        <v>4901</v>
      </c>
      <c r="I144" s="293" t="s">
        <v>3413</v>
      </c>
      <c r="J144" s="293" t="s">
        <v>3414</v>
      </c>
      <c r="K144" s="290" t="s">
        <v>4902</v>
      </c>
      <c r="L144" s="290" t="s">
        <v>4903</v>
      </c>
      <c r="M144" s="290" t="s">
        <v>4623</v>
      </c>
      <c r="N144" s="290" t="s">
        <v>4628</v>
      </c>
      <c r="O144" s="290" t="s">
        <v>4628</v>
      </c>
      <c r="P144" s="290" t="s">
        <v>999</v>
      </c>
      <c r="Q144" s="291" t="s">
        <v>4904</v>
      </c>
      <c r="R144" s="276"/>
      <c r="S144" s="277">
        <f>IF(OR(C144="",C144=T$4),NA(),MATCH($B144&amp;$C144,'Smelter Reference List'!$J:$J,0))</f>
        <v>222</v>
      </c>
      <c r="T144" s="278"/>
      <c r="U144" s="278"/>
      <c r="V144" s="278"/>
      <c r="W144" s="278"/>
    </row>
    <row r="145" spans="1:23" s="269" customFormat="1" ht="20.25">
      <c r="A145" s="267"/>
      <c r="B145" s="275" t="s">
        <v>2436</v>
      </c>
      <c r="C145" s="275" t="s">
        <v>3831</v>
      </c>
      <c r="D145" s="168" t="s">
        <v>4905</v>
      </c>
      <c r="E145" s="168" t="s">
        <v>2290</v>
      </c>
      <c r="F145" s="168" t="s">
        <v>4623</v>
      </c>
      <c r="G145" s="168" t="s">
        <v>4623</v>
      </c>
      <c r="H145" s="292" t="s">
        <v>4906</v>
      </c>
      <c r="I145" s="293" t="s">
        <v>4907</v>
      </c>
      <c r="J145" s="293" t="s">
        <v>4908</v>
      </c>
      <c r="K145" s="290" t="s">
        <v>4623</v>
      </c>
      <c r="L145" s="290" t="s">
        <v>4909</v>
      </c>
      <c r="M145" s="290" t="s">
        <v>4905</v>
      </c>
      <c r="N145" s="290" t="s">
        <v>4801</v>
      </c>
      <c r="O145" s="290" t="s">
        <v>4623</v>
      </c>
      <c r="P145" s="290" t="s">
        <v>999</v>
      </c>
      <c r="Q145" s="291" t="s">
        <v>4623</v>
      </c>
      <c r="R145" s="276"/>
      <c r="S145" s="277">
        <f>IF(OR(C145="",C145=T$4),NA(),MATCH($B145&amp;$C145,'Smelter Reference List'!$J:$J,0))</f>
        <v>222</v>
      </c>
      <c r="T145" s="278"/>
      <c r="U145" s="278"/>
      <c r="V145" s="278"/>
      <c r="W145" s="278"/>
    </row>
    <row r="146" spans="1:23" s="269" customFormat="1" ht="20.25">
      <c r="A146" s="267"/>
      <c r="B146" s="275" t="s">
        <v>2436</v>
      </c>
      <c r="C146" s="275" t="s">
        <v>3831</v>
      </c>
      <c r="D146" s="168" t="s">
        <v>4826</v>
      </c>
      <c r="E146" s="168" t="s">
        <v>2290</v>
      </c>
      <c r="F146" s="168" t="s">
        <v>4623</v>
      </c>
      <c r="G146" s="168" t="s">
        <v>4623</v>
      </c>
      <c r="H146" s="292" t="s">
        <v>4623</v>
      </c>
      <c r="I146" s="293" t="s">
        <v>4623</v>
      </c>
      <c r="J146" s="293" t="s">
        <v>4623</v>
      </c>
      <c r="K146" s="290" t="s">
        <v>4623</v>
      </c>
      <c r="L146" s="290" t="s">
        <v>4623</v>
      </c>
      <c r="M146" s="290" t="s">
        <v>4623</v>
      </c>
      <c r="N146" s="290" t="s">
        <v>4623</v>
      </c>
      <c r="O146" s="290" t="s">
        <v>4623</v>
      </c>
      <c r="P146" s="290" t="s">
        <v>999</v>
      </c>
      <c r="Q146" s="291" t="s">
        <v>4623</v>
      </c>
      <c r="R146" s="276"/>
      <c r="S146" s="277">
        <f>IF(OR(C146="",C146=T$4),NA(),MATCH($B146&amp;$C146,'Smelter Reference List'!$J:$J,0))</f>
        <v>222</v>
      </c>
      <c r="T146" s="278"/>
      <c r="U146" s="278"/>
      <c r="V146" s="278"/>
      <c r="W146" s="278"/>
    </row>
    <row r="147" spans="1:23" s="269" customFormat="1" ht="20.25">
      <c r="A147" s="267"/>
      <c r="B147" s="275" t="s">
        <v>2436</v>
      </c>
      <c r="C147" s="275" t="s">
        <v>3831</v>
      </c>
      <c r="D147" s="168" t="s">
        <v>4910</v>
      </c>
      <c r="E147" s="168" t="s">
        <v>2290</v>
      </c>
      <c r="F147" s="168" t="s">
        <v>4623</v>
      </c>
      <c r="G147" s="168" t="s">
        <v>4623</v>
      </c>
      <c r="H147" s="292" t="s">
        <v>4623</v>
      </c>
      <c r="I147" s="293" t="s">
        <v>4623</v>
      </c>
      <c r="J147" s="293" t="s">
        <v>4623</v>
      </c>
      <c r="K147" s="290" t="s">
        <v>4623</v>
      </c>
      <c r="L147" s="290" t="s">
        <v>4623</v>
      </c>
      <c r="M147" s="290" t="s">
        <v>4623</v>
      </c>
      <c r="N147" s="290" t="s">
        <v>4623</v>
      </c>
      <c r="O147" s="290" t="s">
        <v>4623</v>
      </c>
      <c r="P147" s="290" t="s">
        <v>999</v>
      </c>
      <c r="Q147" s="291" t="s">
        <v>4623</v>
      </c>
      <c r="R147" s="276"/>
      <c r="S147" s="277">
        <f>IF(OR(C147="",C147=T$4),NA(),MATCH($B147&amp;$C147,'Smelter Reference List'!$J:$J,0))</f>
        <v>222</v>
      </c>
      <c r="T147" s="278"/>
      <c r="U147" s="278"/>
      <c r="V147" s="278"/>
      <c r="W147" s="278"/>
    </row>
    <row r="148" spans="1:23" s="269" customFormat="1" ht="20.25">
      <c r="A148" s="267"/>
      <c r="B148" s="275" t="s">
        <v>2436</v>
      </c>
      <c r="C148" s="275" t="s">
        <v>3831</v>
      </c>
      <c r="D148" s="168" t="s">
        <v>4911</v>
      </c>
      <c r="E148" s="168" t="s">
        <v>2290</v>
      </c>
      <c r="F148" s="168" t="s">
        <v>4623</v>
      </c>
      <c r="G148" s="168" t="s">
        <v>4623</v>
      </c>
      <c r="H148" s="292" t="s">
        <v>4912</v>
      </c>
      <c r="I148" s="293" t="s">
        <v>4623</v>
      </c>
      <c r="J148" s="293" t="s">
        <v>4623</v>
      </c>
      <c r="K148" s="290" t="s">
        <v>4623</v>
      </c>
      <c r="L148" s="290" t="s">
        <v>4623</v>
      </c>
      <c r="M148" s="290" t="s">
        <v>4623</v>
      </c>
      <c r="N148" s="290" t="s">
        <v>4623</v>
      </c>
      <c r="O148" s="290" t="s">
        <v>4623</v>
      </c>
      <c r="P148" s="290" t="s">
        <v>999</v>
      </c>
      <c r="Q148" s="291" t="s">
        <v>4623</v>
      </c>
      <c r="R148" s="276"/>
      <c r="S148" s="277">
        <f>IF(OR(C148="",C148=T$4),NA(),MATCH($B148&amp;$C148,'Smelter Reference List'!$J:$J,0))</f>
        <v>222</v>
      </c>
      <c r="T148" s="278"/>
      <c r="U148" s="278"/>
      <c r="V148" s="278"/>
      <c r="W148" s="278"/>
    </row>
    <row r="149" spans="1:23" s="269" customFormat="1" ht="20.25">
      <c r="A149" s="267"/>
      <c r="B149" s="275" t="s">
        <v>2436</v>
      </c>
      <c r="C149" s="275" t="s">
        <v>3831</v>
      </c>
      <c r="D149" s="168" t="s">
        <v>4913</v>
      </c>
      <c r="E149" s="168" t="s">
        <v>2293</v>
      </c>
      <c r="F149" s="168" t="s">
        <v>4623</v>
      </c>
      <c r="G149" s="168" t="s">
        <v>4623</v>
      </c>
      <c r="H149" s="292" t="s">
        <v>4623</v>
      </c>
      <c r="I149" s="293" t="s">
        <v>4623</v>
      </c>
      <c r="J149" s="293" t="s">
        <v>4623</v>
      </c>
      <c r="K149" s="290" t="s">
        <v>4623</v>
      </c>
      <c r="L149" s="290" t="s">
        <v>4623</v>
      </c>
      <c r="M149" s="290" t="s">
        <v>4623</v>
      </c>
      <c r="N149" s="290" t="s">
        <v>4623</v>
      </c>
      <c r="O149" s="290" t="s">
        <v>4623</v>
      </c>
      <c r="P149" s="290" t="s">
        <v>999</v>
      </c>
      <c r="Q149" s="291" t="s">
        <v>4623</v>
      </c>
      <c r="R149" s="276"/>
      <c r="S149" s="277">
        <f>IF(OR(C149="",C149=T$4),NA(),MATCH($B149&amp;$C149,'Smelter Reference List'!$J:$J,0))</f>
        <v>222</v>
      </c>
      <c r="T149" s="278"/>
      <c r="U149" s="278"/>
      <c r="V149" s="278"/>
      <c r="W149" s="278"/>
    </row>
    <row r="150" spans="1:23" s="269" customFormat="1" ht="20.25">
      <c r="A150" s="267"/>
      <c r="B150" s="275" t="s">
        <v>2436</v>
      </c>
      <c r="C150" s="275" t="s">
        <v>3831</v>
      </c>
      <c r="D150" s="168" t="s">
        <v>4914</v>
      </c>
      <c r="E150" s="168" t="s">
        <v>2293</v>
      </c>
      <c r="F150" s="168" t="s">
        <v>4623</v>
      </c>
      <c r="G150" s="168" t="s">
        <v>4623</v>
      </c>
      <c r="H150" s="292" t="s">
        <v>4623</v>
      </c>
      <c r="I150" s="293" t="s">
        <v>4623</v>
      </c>
      <c r="J150" s="293" t="s">
        <v>4623</v>
      </c>
      <c r="K150" s="290" t="s">
        <v>4623</v>
      </c>
      <c r="L150" s="290" t="s">
        <v>4623</v>
      </c>
      <c r="M150" s="290" t="s">
        <v>4623</v>
      </c>
      <c r="N150" s="290" t="s">
        <v>4623</v>
      </c>
      <c r="O150" s="290" t="s">
        <v>4623</v>
      </c>
      <c r="P150" s="290" t="s">
        <v>999</v>
      </c>
      <c r="Q150" s="291" t="s">
        <v>4623</v>
      </c>
      <c r="R150" s="276"/>
      <c r="S150" s="277">
        <f>IF(OR(C150="",C150=T$4),NA(),MATCH($B150&amp;$C150,'Smelter Reference List'!$J:$J,0))</f>
        <v>222</v>
      </c>
      <c r="T150" s="278"/>
      <c r="U150" s="278"/>
      <c r="V150" s="278"/>
      <c r="W150" s="278"/>
    </row>
    <row r="151" spans="1:23" s="269" customFormat="1" ht="20.25">
      <c r="A151" s="267"/>
      <c r="B151" s="275" t="s">
        <v>2436</v>
      </c>
      <c r="C151" s="275" t="s">
        <v>3831</v>
      </c>
      <c r="D151" s="168" t="s">
        <v>4915</v>
      </c>
      <c r="E151" s="168" t="s">
        <v>2293</v>
      </c>
      <c r="F151" s="168" t="s">
        <v>4916</v>
      </c>
      <c r="G151" s="168" t="s">
        <v>1629</v>
      </c>
      <c r="H151" s="292" t="s">
        <v>4917</v>
      </c>
      <c r="I151" s="293" t="s">
        <v>4918</v>
      </c>
      <c r="J151" s="293" t="s">
        <v>4623</v>
      </c>
      <c r="K151" s="290" t="s">
        <v>4623</v>
      </c>
      <c r="L151" s="290" t="s">
        <v>4919</v>
      </c>
      <c r="M151" s="290" t="s">
        <v>4623</v>
      </c>
      <c r="N151" s="290" t="s">
        <v>4623</v>
      </c>
      <c r="O151" s="290" t="s">
        <v>4623</v>
      </c>
      <c r="P151" s="290" t="s">
        <v>999</v>
      </c>
      <c r="Q151" s="291" t="s">
        <v>4817</v>
      </c>
      <c r="R151" s="276"/>
      <c r="S151" s="277">
        <f>IF(OR(C151="",C151=T$4),NA(),MATCH($B151&amp;$C151,'Smelter Reference List'!$J:$J,0))</f>
        <v>222</v>
      </c>
      <c r="T151" s="278"/>
      <c r="U151" s="278"/>
      <c r="V151" s="278"/>
      <c r="W151" s="278"/>
    </row>
    <row r="152" spans="1:23" s="269" customFormat="1" ht="20.25">
      <c r="A152" s="267"/>
      <c r="B152" s="275" t="s">
        <v>2436</v>
      </c>
      <c r="C152" s="275" t="s">
        <v>3831</v>
      </c>
      <c r="D152" s="168" t="s">
        <v>4836</v>
      </c>
      <c r="E152" s="168" t="s">
        <v>2293</v>
      </c>
      <c r="F152" s="168" t="s">
        <v>4623</v>
      </c>
      <c r="G152" s="168" t="s">
        <v>4623</v>
      </c>
      <c r="H152" s="292" t="s">
        <v>4623</v>
      </c>
      <c r="I152" s="293" t="s">
        <v>4623</v>
      </c>
      <c r="J152" s="293" t="s">
        <v>4623</v>
      </c>
      <c r="K152" s="290" t="s">
        <v>4623</v>
      </c>
      <c r="L152" s="290" t="s">
        <v>4623</v>
      </c>
      <c r="M152" s="290" t="s">
        <v>4623</v>
      </c>
      <c r="N152" s="290" t="s">
        <v>4623</v>
      </c>
      <c r="O152" s="290" t="s">
        <v>4623</v>
      </c>
      <c r="P152" s="290" t="s">
        <v>999</v>
      </c>
      <c r="Q152" s="291" t="s">
        <v>4623</v>
      </c>
      <c r="R152" s="276"/>
      <c r="S152" s="277">
        <f>IF(OR(C152="",C152=T$4),NA(),MATCH($B152&amp;$C152,'Smelter Reference List'!$J:$J,0))</f>
        <v>222</v>
      </c>
      <c r="T152" s="278"/>
      <c r="U152" s="278"/>
      <c r="V152" s="278"/>
      <c r="W152" s="278"/>
    </row>
    <row r="153" spans="1:23" s="269" customFormat="1" ht="20.25">
      <c r="A153" s="267"/>
      <c r="B153" s="275" t="s">
        <v>2436</v>
      </c>
      <c r="C153" s="275" t="s">
        <v>3831</v>
      </c>
      <c r="D153" s="168" t="s">
        <v>4920</v>
      </c>
      <c r="E153" s="168" t="s">
        <v>2293</v>
      </c>
      <c r="F153" s="168" t="s">
        <v>4623</v>
      </c>
      <c r="G153" s="168" t="s">
        <v>4623</v>
      </c>
      <c r="H153" s="292" t="s">
        <v>4623</v>
      </c>
      <c r="I153" s="293" t="s">
        <v>4623</v>
      </c>
      <c r="J153" s="293" t="s">
        <v>4623</v>
      </c>
      <c r="K153" s="290" t="s">
        <v>4623</v>
      </c>
      <c r="L153" s="290" t="s">
        <v>4623</v>
      </c>
      <c r="M153" s="290" t="s">
        <v>4623</v>
      </c>
      <c r="N153" s="290" t="s">
        <v>4623</v>
      </c>
      <c r="O153" s="290" t="s">
        <v>4623</v>
      </c>
      <c r="P153" s="290" t="s">
        <v>999</v>
      </c>
      <c r="Q153" s="291" t="s">
        <v>4623</v>
      </c>
      <c r="R153" s="276"/>
      <c r="S153" s="277">
        <f>IF(OR(C153="",C153=T$4),NA(),MATCH($B153&amp;$C153,'Smelter Reference List'!$J:$J,0))</f>
        <v>222</v>
      </c>
      <c r="T153" s="278"/>
      <c r="U153" s="278"/>
      <c r="V153" s="278"/>
      <c r="W153" s="278"/>
    </row>
    <row r="154" spans="1:23" s="269" customFormat="1" ht="20.25">
      <c r="A154" s="267"/>
      <c r="B154" s="275" t="s">
        <v>2436</v>
      </c>
      <c r="C154" s="275" t="s">
        <v>3831</v>
      </c>
      <c r="D154" s="168" t="s">
        <v>4921</v>
      </c>
      <c r="E154" s="168" t="s">
        <v>2293</v>
      </c>
      <c r="F154" s="168" t="s">
        <v>4623</v>
      </c>
      <c r="G154" s="168" t="s">
        <v>4623</v>
      </c>
      <c r="H154" s="292" t="s">
        <v>4623</v>
      </c>
      <c r="I154" s="293" t="s">
        <v>4623</v>
      </c>
      <c r="J154" s="293" t="s">
        <v>4623</v>
      </c>
      <c r="K154" s="290" t="s">
        <v>4623</v>
      </c>
      <c r="L154" s="290" t="s">
        <v>4623</v>
      </c>
      <c r="M154" s="290" t="s">
        <v>4623</v>
      </c>
      <c r="N154" s="290" t="s">
        <v>4623</v>
      </c>
      <c r="O154" s="290" t="s">
        <v>4623</v>
      </c>
      <c r="P154" s="290" t="s">
        <v>999</v>
      </c>
      <c r="Q154" s="291" t="s">
        <v>4623</v>
      </c>
      <c r="R154" s="276"/>
      <c r="S154" s="277">
        <f>IF(OR(C154="",C154=T$4),NA(),MATCH($B154&amp;$C154,'Smelter Reference List'!$J:$J,0))</f>
        <v>222</v>
      </c>
      <c r="T154" s="278"/>
      <c r="U154" s="278"/>
      <c r="V154" s="278"/>
      <c r="W154" s="278"/>
    </row>
    <row r="155" spans="1:23" s="269" customFormat="1" ht="20.25">
      <c r="A155" s="267"/>
      <c r="B155" s="275" t="s">
        <v>2436</v>
      </c>
      <c r="C155" s="275" t="s">
        <v>3831</v>
      </c>
      <c r="D155" s="168" t="s">
        <v>4922</v>
      </c>
      <c r="E155" s="168" t="s">
        <v>2294</v>
      </c>
      <c r="F155" s="168" t="s">
        <v>4623</v>
      </c>
      <c r="G155" s="168" t="s">
        <v>4623</v>
      </c>
      <c r="H155" s="292" t="s">
        <v>4623</v>
      </c>
      <c r="I155" s="293" t="s">
        <v>3473</v>
      </c>
      <c r="J155" s="293" t="s">
        <v>4821</v>
      </c>
      <c r="K155" s="290" t="s">
        <v>4923</v>
      </c>
      <c r="L155" s="290" t="s">
        <v>4623</v>
      </c>
      <c r="M155" s="290" t="s">
        <v>4623</v>
      </c>
      <c r="N155" s="290" t="s">
        <v>4623</v>
      </c>
      <c r="O155" s="290" t="s">
        <v>4623</v>
      </c>
      <c r="P155" s="290" t="s">
        <v>999</v>
      </c>
      <c r="Q155" s="291" t="s">
        <v>4623</v>
      </c>
      <c r="R155" s="276"/>
      <c r="S155" s="277">
        <f>IF(OR(C155="",C155=T$4),NA(),MATCH($B155&amp;$C155,'Smelter Reference List'!$J:$J,0))</f>
        <v>222</v>
      </c>
      <c r="T155" s="278"/>
      <c r="U155" s="278"/>
      <c r="V155" s="278"/>
      <c r="W155" s="278"/>
    </row>
    <row r="156" spans="1:23" s="269" customFormat="1" ht="20.25">
      <c r="A156" s="267"/>
      <c r="B156" s="275" t="s">
        <v>2436</v>
      </c>
      <c r="C156" s="275" t="s">
        <v>3831</v>
      </c>
      <c r="D156" s="168" t="s">
        <v>4924</v>
      </c>
      <c r="E156" s="168" t="s">
        <v>2294</v>
      </c>
      <c r="F156" s="168" t="s">
        <v>4623</v>
      </c>
      <c r="G156" s="168" t="s">
        <v>4623</v>
      </c>
      <c r="H156" s="292" t="s">
        <v>4623</v>
      </c>
      <c r="I156" s="293" t="s">
        <v>4623</v>
      </c>
      <c r="J156" s="293" t="s">
        <v>4925</v>
      </c>
      <c r="K156" s="290" t="s">
        <v>4926</v>
      </c>
      <c r="L156" s="290" t="s">
        <v>4623</v>
      </c>
      <c r="M156" s="290" t="s">
        <v>4623</v>
      </c>
      <c r="N156" s="290" t="s">
        <v>4623</v>
      </c>
      <c r="O156" s="290" t="s">
        <v>4623</v>
      </c>
      <c r="P156" s="290" t="s">
        <v>999</v>
      </c>
      <c r="Q156" s="291" t="s">
        <v>4623</v>
      </c>
      <c r="R156" s="276"/>
      <c r="S156" s="277">
        <f>IF(OR(C156="",C156=T$4),NA(),MATCH($B156&amp;$C156,'Smelter Reference List'!$J:$J,0))</f>
        <v>222</v>
      </c>
      <c r="T156" s="278"/>
      <c r="U156" s="278"/>
      <c r="V156" s="278"/>
      <c r="W156" s="278"/>
    </row>
    <row r="157" spans="1:23" s="269" customFormat="1" ht="20.25">
      <c r="A157" s="267"/>
      <c r="B157" s="275" t="s">
        <v>2436</v>
      </c>
      <c r="C157" s="275" t="s">
        <v>3831</v>
      </c>
      <c r="D157" s="168" t="s">
        <v>4927</v>
      </c>
      <c r="E157" s="168" t="s">
        <v>2294</v>
      </c>
      <c r="F157" s="168" t="s">
        <v>4623</v>
      </c>
      <c r="G157" s="168" t="s">
        <v>4623</v>
      </c>
      <c r="H157" s="292" t="s">
        <v>4623</v>
      </c>
      <c r="I157" s="293" t="s">
        <v>4623</v>
      </c>
      <c r="J157" s="293" t="s">
        <v>4623</v>
      </c>
      <c r="K157" s="290" t="s">
        <v>4623</v>
      </c>
      <c r="L157" s="290" t="s">
        <v>4623</v>
      </c>
      <c r="M157" s="290" t="s">
        <v>4623</v>
      </c>
      <c r="N157" s="290" t="s">
        <v>4623</v>
      </c>
      <c r="O157" s="290" t="s">
        <v>4623</v>
      </c>
      <c r="P157" s="290" t="s">
        <v>999</v>
      </c>
      <c r="Q157" s="291" t="s">
        <v>4623</v>
      </c>
      <c r="R157" s="276"/>
      <c r="S157" s="277">
        <f>IF(OR(C157="",C157=T$4),NA(),MATCH($B157&amp;$C157,'Smelter Reference List'!$J:$J,0))</f>
        <v>222</v>
      </c>
      <c r="T157" s="278"/>
      <c r="U157" s="278"/>
      <c r="V157" s="278"/>
      <c r="W157" s="278"/>
    </row>
    <row r="158" spans="1:23" s="269" customFormat="1" ht="20.25">
      <c r="A158" s="267"/>
      <c r="B158" s="275" t="s">
        <v>2436</v>
      </c>
      <c r="C158" s="275" t="s">
        <v>3831</v>
      </c>
      <c r="D158" s="168" t="s">
        <v>4928</v>
      </c>
      <c r="E158" s="168" t="s">
        <v>2294</v>
      </c>
      <c r="F158" s="168" t="s">
        <v>4623</v>
      </c>
      <c r="G158" s="168" t="s">
        <v>4623</v>
      </c>
      <c r="H158" s="292" t="s">
        <v>4623</v>
      </c>
      <c r="I158" s="293" t="s">
        <v>4623</v>
      </c>
      <c r="J158" s="293" t="s">
        <v>4623</v>
      </c>
      <c r="K158" s="290" t="s">
        <v>4623</v>
      </c>
      <c r="L158" s="290" t="s">
        <v>4623</v>
      </c>
      <c r="M158" s="290" t="s">
        <v>4623</v>
      </c>
      <c r="N158" s="290" t="s">
        <v>4623</v>
      </c>
      <c r="O158" s="290" t="s">
        <v>4623</v>
      </c>
      <c r="P158" s="290" t="s">
        <v>999</v>
      </c>
      <c r="Q158" s="291" t="s">
        <v>4623</v>
      </c>
      <c r="R158" s="276"/>
      <c r="S158" s="277">
        <f>IF(OR(C158="",C158=T$4),NA(),MATCH($B158&amp;$C158,'Smelter Reference List'!$J:$J,0))</f>
        <v>222</v>
      </c>
      <c r="T158" s="278"/>
      <c r="U158" s="278"/>
      <c r="V158" s="278"/>
      <c r="W158" s="278"/>
    </row>
    <row r="159" spans="1:23" s="269" customFormat="1" ht="20.25">
      <c r="A159" s="267"/>
      <c r="B159" s="275" t="s">
        <v>2436</v>
      </c>
      <c r="C159" s="275" t="s">
        <v>3831</v>
      </c>
      <c r="D159" s="168" t="s">
        <v>4828</v>
      </c>
      <c r="E159" s="168" t="s">
        <v>2294</v>
      </c>
      <c r="F159" s="168" t="s">
        <v>4623</v>
      </c>
      <c r="G159" s="168" t="s">
        <v>4623</v>
      </c>
      <c r="H159" s="292" t="s">
        <v>4929</v>
      </c>
      <c r="I159" s="293" t="s">
        <v>4930</v>
      </c>
      <c r="J159" s="293" t="s">
        <v>4931</v>
      </c>
      <c r="K159" s="290" t="s">
        <v>4623</v>
      </c>
      <c r="L159" s="290" t="s">
        <v>4623</v>
      </c>
      <c r="M159" s="290" t="s">
        <v>4623</v>
      </c>
      <c r="N159" s="290" t="s">
        <v>4623</v>
      </c>
      <c r="O159" s="290" t="s">
        <v>4623</v>
      </c>
      <c r="P159" s="290" t="s">
        <v>999</v>
      </c>
      <c r="Q159" s="291" t="s">
        <v>4623</v>
      </c>
      <c r="R159" s="276"/>
      <c r="S159" s="277">
        <f>IF(OR(C159="",C159=T$4),NA(),MATCH($B159&amp;$C159,'Smelter Reference List'!$J:$J,0))</f>
        <v>222</v>
      </c>
      <c r="T159" s="278"/>
      <c r="U159" s="278"/>
      <c r="V159" s="278"/>
      <c r="W159" s="278"/>
    </row>
    <row r="160" spans="1:23" s="269" customFormat="1" ht="20.25">
      <c r="A160" s="267"/>
      <c r="B160" s="275" t="s">
        <v>2436</v>
      </c>
      <c r="C160" s="275" t="s">
        <v>3831</v>
      </c>
      <c r="D160" s="168" t="s">
        <v>4932</v>
      </c>
      <c r="E160" s="168" t="s">
        <v>2294</v>
      </c>
      <c r="F160" s="168" t="s">
        <v>4623</v>
      </c>
      <c r="G160" s="168" t="s">
        <v>4623</v>
      </c>
      <c r="H160" s="292" t="s">
        <v>4623</v>
      </c>
      <c r="I160" s="293" t="s">
        <v>4623</v>
      </c>
      <c r="J160" s="293" t="s">
        <v>4623</v>
      </c>
      <c r="K160" s="290" t="s">
        <v>4623</v>
      </c>
      <c r="L160" s="290" t="s">
        <v>4623</v>
      </c>
      <c r="M160" s="290" t="s">
        <v>4623</v>
      </c>
      <c r="N160" s="290" t="s">
        <v>4623</v>
      </c>
      <c r="O160" s="290" t="s">
        <v>4623</v>
      </c>
      <c r="P160" s="290" t="s">
        <v>999</v>
      </c>
      <c r="Q160" s="291" t="s">
        <v>4623</v>
      </c>
      <c r="R160" s="276"/>
      <c r="S160" s="277">
        <f>IF(OR(C160="",C160=T$4),NA(),MATCH($B160&amp;$C160,'Smelter Reference List'!$J:$J,0))</f>
        <v>222</v>
      </c>
      <c r="T160" s="278"/>
      <c r="U160" s="278"/>
      <c r="V160" s="278"/>
      <c r="W160" s="278"/>
    </row>
    <row r="161" spans="1:23" s="269" customFormat="1" ht="20.25">
      <c r="A161" s="267"/>
      <c r="B161" s="275" t="s">
        <v>2436</v>
      </c>
      <c r="C161" s="275" t="s">
        <v>3831</v>
      </c>
      <c r="D161" s="168" t="s">
        <v>4933</v>
      </c>
      <c r="E161" s="168" t="s">
        <v>2294</v>
      </c>
      <c r="F161" s="168" t="s">
        <v>4623</v>
      </c>
      <c r="G161" s="168" t="s">
        <v>4623</v>
      </c>
      <c r="H161" s="292" t="s">
        <v>4623</v>
      </c>
      <c r="I161" s="293" t="s">
        <v>4623</v>
      </c>
      <c r="J161" s="293" t="s">
        <v>4623</v>
      </c>
      <c r="K161" s="290" t="s">
        <v>4623</v>
      </c>
      <c r="L161" s="290" t="s">
        <v>4623</v>
      </c>
      <c r="M161" s="290" t="s">
        <v>4623</v>
      </c>
      <c r="N161" s="290" t="s">
        <v>4623</v>
      </c>
      <c r="O161" s="290" t="s">
        <v>4623</v>
      </c>
      <c r="P161" s="290" t="s">
        <v>999</v>
      </c>
      <c r="Q161" s="291" t="s">
        <v>4623</v>
      </c>
      <c r="R161" s="276"/>
      <c r="S161" s="277">
        <f>IF(OR(C161="",C161=T$4),NA(),MATCH($B161&amp;$C161,'Smelter Reference List'!$J:$J,0))</f>
        <v>222</v>
      </c>
      <c r="T161" s="278"/>
      <c r="U161" s="278"/>
      <c r="V161" s="278"/>
      <c r="W161" s="278"/>
    </row>
    <row r="162" spans="1:23" s="269" customFormat="1" ht="20.25">
      <c r="A162" s="267"/>
      <c r="B162" s="275" t="s">
        <v>2436</v>
      </c>
      <c r="C162" s="275" t="s">
        <v>3831</v>
      </c>
      <c r="D162" s="168" t="s">
        <v>4934</v>
      </c>
      <c r="E162" s="168" t="s">
        <v>2294</v>
      </c>
      <c r="F162" s="168" t="s">
        <v>4623</v>
      </c>
      <c r="G162" s="168" t="s">
        <v>4623</v>
      </c>
      <c r="H162" s="292" t="s">
        <v>4935</v>
      </c>
      <c r="I162" s="293" t="s">
        <v>4936</v>
      </c>
      <c r="J162" s="293" t="s">
        <v>3386</v>
      </c>
      <c r="K162" s="290" t="s">
        <v>4937</v>
      </c>
      <c r="L162" s="290" t="s">
        <v>4938</v>
      </c>
      <c r="M162" s="290" t="s">
        <v>4623</v>
      </c>
      <c r="N162" s="290" t="s">
        <v>4623</v>
      </c>
      <c r="O162" s="290" t="s">
        <v>4623</v>
      </c>
      <c r="P162" s="290" t="s">
        <v>999</v>
      </c>
      <c r="Q162" s="291" t="s">
        <v>4623</v>
      </c>
      <c r="R162" s="276"/>
      <c r="S162" s="277">
        <f>IF(OR(C162="",C162=T$4),NA(),MATCH($B162&amp;$C162,'Smelter Reference List'!$J:$J,0))</f>
        <v>222</v>
      </c>
      <c r="T162" s="278"/>
      <c r="U162" s="278"/>
      <c r="V162" s="278"/>
      <c r="W162" s="278"/>
    </row>
    <row r="163" spans="1:23" s="269" customFormat="1" ht="20.25">
      <c r="A163" s="267"/>
      <c r="B163" s="275" t="s">
        <v>2436</v>
      </c>
      <c r="C163" s="275" t="s">
        <v>3831</v>
      </c>
      <c r="D163" s="168" t="s">
        <v>4939</v>
      </c>
      <c r="E163" s="168" t="s">
        <v>2294</v>
      </c>
      <c r="F163" s="168" t="s">
        <v>4623</v>
      </c>
      <c r="G163" s="168" t="s">
        <v>4623</v>
      </c>
      <c r="H163" s="292" t="s">
        <v>4623</v>
      </c>
      <c r="I163" s="293" t="s">
        <v>4623</v>
      </c>
      <c r="J163" s="293" t="s">
        <v>4623</v>
      </c>
      <c r="K163" s="290" t="s">
        <v>4623</v>
      </c>
      <c r="L163" s="290" t="s">
        <v>4623</v>
      </c>
      <c r="M163" s="290" t="s">
        <v>4623</v>
      </c>
      <c r="N163" s="290" t="s">
        <v>4623</v>
      </c>
      <c r="O163" s="290" t="s">
        <v>4623</v>
      </c>
      <c r="P163" s="290" t="s">
        <v>999</v>
      </c>
      <c r="Q163" s="291" t="s">
        <v>4623</v>
      </c>
      <c r="R163" s="276"/>
      <c r="S163" s="277">
        <f>IF(OR(C163="",C163=T$4),NA(),MATCH($B163&amp;$C163,'Smelter Reference List'!$J:$J,0))</f>
        <v>222</v>
      </c>
      <c r="T163" s="278"/>
      <c r="U163" s="278"/>
      <c r="V163" s="278"/>
      <c r="W163" s="278"/>
    </row>
    <row r="164" spans="1:23" s="269" customFormat="1" ht="20.25">
      <c r="A164" s="267"/>
      <c r="B164" s="275" t="s">
        <v>2436</v>
      </c>
      <c r="C164" s="275" t="s">
        <v>3831</v>
      </c>
      <c r="D164" s="168" t="s">
        <v>4940</v>
      </c>
      <c r="E164" s="168" t="s">
        <v>2294</v>
      </c>
      <c r="F164" s="168" t="s">
        <v>4623</v>
      </c>
      <c r="G164" s="168" t="s">
        <v>4623</v>
      </c>
      <c r="H164" s="292" t="s">
        <v>4623</v>
      </c>
      <c r="I164" s="293" t="s">
        <v>4623</v>
      </c>
      <c r="J164" s="293" t="s">
        <v>4623</v>
      </c>
      <c r="K164" s="290" t="s">
        <v>4623</v>
      </c>
      <c r="L164" s="290" t="s">
        <v>4623</v>
      </c>
      <c r="M164" s="290" t="s">
        <v>4623</v>
      </c>
      <c r="N164" s="290" t="s">
        <v>4623</v>
      </c>
      <c r="O164" s="290" t="s">
        <v>4623</v>
      </c>
      <c r="P164" s="290" t="s">
        <v>999</v>
      </c>
      <c r="Q164" s="291" t="s">
        <v>4623</v>
      </c>
      <c r="R164" s="276"/>
      <c r="S164" s="277">
        <f>IF(OR(C164="",C164=T$4),NA(),MATCH($B164&amp;$C164,'Smelter Reference List'!$J:$J,0))</f>
        <v>222</v>
      </c>
      <c r="T164" s="278"/>
      <c r="U164" s="278"/>
      <c r="V164" s="278"/>
      <c r="W164" s="278"/>
    </row>
    <row r="165" spans="1:23" s="269" customFormat="1" ht="20.25">
      <c r="A165" s="267"/>
      <c r="B165" s="275" t="s">
        <v>2436</v>
      </c>
      <c r="C165" s="275" t="s">
        <v>3831</v>
      </c>
      <c r="D165" s="168" t="s">
        <v>4941</v>
      </c>
      <c r="E165" s="168" t="s">
        <v>2294</v>
      </c>
      <c r="F165" s="168" t="s">
        <v>4623</v>
      </c>
      <c r="G165" s="168" t="s">
        <v>4623</v>
      </c>
      <c r="H165" s="292" t="s">
        <v>4623</v>
      </c>
      <c r="I165" s="293" t="s">
        <v>4623</v>
      </c>
      <c r="J165" s="293" t="s">
        <v>4623</v>
      </c>
      <c r="K165" s="290" t="s">
        <v>4623</v>
      </c>
      <c r="L165" s="290" t="s">
        <v>4623</v>
      </c>
      <c r="M165" s="290" t="s">
        <v>4623</v>
      </c>
      <c r="N165" s="290" t="s">
        <v>4623</v>
      </c>
      <c r="O165" s="290" t="s">
        <v>4623</v>
      </c>
      <c r="P165" s="290" t="s">
        <v>999</v>
      </c>
      <c r="Q165" s="291" t="s">
        <v>4623</v>
      </c>
      <c r="R165" s="276"/>
      <c r="S165" s="277">
        <f>IF(OR(C165="",C165=T$4),NA(),MATCH($B165&amp;$C165,'Smelter Reference List'!$J:$J,0))</f>
        <v>222</v>
      </c>
      <c r="T165" s="278"/>
      <c r="U165" s="278"/>
      <c r="V165" s="278"/>
      <c r="W165" s="278"/>
    </row>
    <row r="166" spans="1:23" s="269" customFormat="1" ht="20.25">
      <c r="A166" s="267"/>
      <c r="B166" s="275" t="s">
        <v>2436</v>
      </c>
      <c r="C166" s="275" t="s">
        <v>3831</v>
      </c>
      <c r="D166" s="168" t="s">
        <v>4942</v>
      </c>
      <c r="E166" s="168" t="s">
        <v>2294</v>
      </c>
      <c r="F166" s="168" t="s">
        <v>4623</v>
      </c>
      <c r="G166" s="168" t="s">
        <v>4623</v>
      </c>
      <c r="H166" s="292" t="s">
        <v>4943</v>
      </c>
      <c r="I166" s="293" t="s">
        <v>3363</v>
      </c>
      <c r="J166" s="293" t="s">
        <v>3364</v>
      </c>
      <c r="K166" s="290" t="s">
        <v>4623</v>
      </c>
      <c r="L166" s="290" t="s">
        <v>4623</v>
      </c>
      <c r="M166" s="290" t="s">
        <v>4623</v>
      </c>
      <c r="N166" s="290" t="s">
        <v>4623</v>
      </c>
      <c r="O166" s="290" t="s">
        <v>4623</v>
      </c>
      <c r="P166" s="290" t="s">
        <v>999</v>
      </c>
      <c r="Q166" s="291" t="s">
        <v>4623</v>
      </c>
      <c r="R166" s="276"/>
      <c r="S166" s="277">
        <f>IF(OR(C166="",C166=T$4),NA(),MATCH($B166&amp;$C166,'Smelter Reference List'!$J:$J,0))</f>
        <v>222</v>
      </c>
      <c r="T166" s="278"/>
      <c r="U166" s="278"/>
      <c r="V166" s="278"/>
      <c r="W166" s="278"/>
    </row>
    <row r="167" spans="1:23" s="269" customFormat="1" ht="20.25">
      <c r="A167" s="267"/>
      <c r="B167" s="275" t="s">
        <v>2436</v>
      </c>
      <c r="C167" s="275" t="s">
        <v>3831</v>
      </c>
      <c r="D167" s="168" t="s">
        <v>4944</v>
      </c>
      <c r="E167" s="168" t="s">
        <v>2294</v>
      </c>
      <c r="F167" s="168" t="s">
        <v>4623</v>
      </c>
      <c r="G167" s="168" t="s">
        <v>4623</v>
      </c>
      <c r="H167" s="292" t="s">
        <v>4623</v>
      </c>
      <c r="I167" s="293" t="s">
        <v>4623</v>
      </c>
      <c r="J167" s="293" t="s">
        <v>4623</v>
      </c>
      <c r="K167" s="290" t="s">
        <v>4623</v>
      </c>
      <c r="L167" s="290" t="s">
        <v>4623</v>
      </c>
      <c r="M167" s="290" t="s">
        <v>4623</v>
      </c>
      <c r="N167" s="290" t="s">
        <v>4623</v>
      </c>
      <c r="O167" s="290" t="s">
        <v>4623</v>
      </c>
      <c r="P167" s="290" t="s">
        <v>999</v>
      </c>
      <c r="Q167" s="291" t="s">
        <v>4623</v>
      </c>
      <c r="R167" s="276"/>
      <c r="S167" s="277">
        <f>IF(OR(C167="",C167=T$4),NA(),MATCH($B167&amp;$C167,'Smelter Reference List'!$J:$J,0))</f>
        <v>222</v>
      </c>
      <c r="T167" s="278"/>
      <c r="U167" s="278"/>
      <c r="V167" s="278"/>
      <c r="W167" s="278"/>
    </row>
    <row r="168" spans="1:23" s="269" customFormat="1" ht="20.25">
      <c r="A168" s="267"/>
      <c r="B168" s="275" t="s">
        <v>2436</v>
      </c>
      <c r="C168" s="275" t="s">
        <v>3831</v>
      </c>
      <c r="D168" s="168" t="s">
        <v>4945</v>
      </c>
      <c r="E168" s="168" t="s">
        <v>2294</v>
      </c>
      <c r="F168" s="168" t="s">
        <v>4623</v>
      </c>
      <c r="G168" s="168" t="s">
        <v>4623</v>
      </c>
      <c r="H168" s="292" t="s">
        <v>4623</v>
      </c>
      <c r="I168" s="293" t="s">
        <v>4623</v>
      </c>
      <c r="J168" s="293" t="s">
        <v>4623</v>
      </c>
      <c r="K168" s="290" t="s">
        <v>4623</v>
      </c>
      <c r="L168" s="290" t="s">
        <v>4623</v>
      </c>
      <c r="M168" s="290" t="s">
        <v>4623</v>
      </c>
      <c r="N168" s="290" t="s">
        <v>4623</v>
      </c>
      <c r="O168" s="290" t="s">
        <v>4623</v>
      </c>
      <c r="P168" s="290" t="s">
        <v>999</v>
      </c>
      <c r="Q168" s="291" t="s">
        <v>4623</v>
      </c>
      <c r="R168" s="276"/>
      <c r="S168" s="277">
        <f>IF(OR(C168="",C168=T$4),NA(),MATCH($B168&amp;$C168,'Smelter Reference List'!$J:$J,0))</f>
        <v>222</v>
      </c>
      <c r="T168" s="278"/>
      <c r="U168" s="278"/>
      <c r="V168" s="278"/>
      <c r="W168" s="278"/>
    </row>
    <row r="169" spans="1:23" s="269" customFormat="1" ht="20.25">
      <c r="A169" s="267"/>
      <c r="B169" s="275" t="s">
        <v>2436</v>
      </c>
      <c r="C169" s="275" t="s">
        <v>3831</v>
      </c>
      <c r="D169" s="168" t="s">
        <v>4946</v>
      </c>
      <c r="E169" s="168" t="s">
        <v>2294</v>
      </c>
      <c r="F169" s="168" t="s">
        <v>4623</v>
      </c>
      <c r="G169" s="168" t="s">
        <v>4623</v>
      </c>
      <c r="H169" s="292" t="s">
        <v>4623</v>
      </c>
      <c r="I169" s="293" t="s">
        <v>4623</v>
      </c>
      <c r="J169" s="293" t="s">
        <v>4623</v>
      </c>
      <c r="K169" s="290" t="s">
        <v>4623</v>
      </c>
      <c r="L169" s="290" t="s">
        <v>4623</v>
      </c>
      <c r="M169" s="290" t="s">
        <v>4623</v>
      </c>
      <c r="N169" s="290" t="s">
        <v>4623</v>
      </c>
      <c r="O169" s="290" t="s">
        <v>4623</v>
      </c>
      <c r="P169" s="290" t="s">
        <v>999</v>
      </c>
      <c r="Q169" s="291" t="s">
        <v>4623</v>
      </c>
      <c r="R169" s="276"/>
      <c r="S169" s="277">
        <f>IF(OR(C169="",C169=T$4),NA(),MATCH($B169&amp;$C169,'Smelter Reference List'!$J:$J,0))</f>
        <v>222</v>
      </c>
      <c r="T169" s="278"/>
      <c r="U169" s="278"/>
      <c r="V169" s="278"/>
      <c r="W169" s="278"/>
    </row>
    <row r="170" spans="1:23" s="269" customFormat="1" ht="20.25">
      <c r="A170" s="267"/>
      <c r="B170" s="275" t="s">
        <v>2436</v>
      </c>
      <c r="C170" s="275" t="s">
        <v>3831</v>
      </c>
      <c r="D170" s="168" t="s">
        <v>3</v>
      </c>
      <c r="E170" s="168" t="s">
        <v>2294</v>
      </c>
      <c r="F170" s="168" t="s">
        <v>4623</v>
      </c>
      <c r="G170" s="168" t="s">
        <v>4623</v>
      </c>
      <c r="H170" s="292" t="s">
        <v>4623</v>
      </c>
      <c r="I170" s="293" t="s">
        <v>4623</v>
      </c>
      <c r="J170" s="293" t="s">
        <v>4623</v>
      </c>
      <c r="K170" s="290" t="s">
        <v>4623</v>
      </c>
      <c r="L170" s="290" t="s">
        <v>4623</v>
      </c>
      <c r="M170" s="290" t="s">
        <v>4623</v>
      </c>
      <c r="N170" s="290" t="s">
        <v>4623</v>
      </c>
      <c r="O170" s="290" t="s">
        <v>4623</v>
      </c>
      <c r="P170" s="290" t="s">
        <v>999</v>
      </c>
      <c r="Q170" s="291" t="s">
        <v>4623</v>
      </c>
      <c r="R170" s="276"/>
      <c r="S170" s="277">
        <f>IF(OR(C170="",C170=T$4),NA(),MATCH($B170&amp;$C170,'Smelter Reference List'!$J:$J,0))</f>
        <v>222</v>
      </c>
      <c r="T170" s="278"/>
      <c r="U170" s="278"/>
      <c r="V170" s="278"/>
      <c r="W170" s="278"/>
    </row>
    <row r="171" spans="1:23" s="269" customFormat="1" ht="20.25">
      <c r="A171" s="267"/>
      <c r="B171" s="275" t="s">
        <v>2436</v>
      </c>
      <c r="C171" s="275" t="s">
        <v>3831</v>
      </c>
      <c r="D171" s="168" t="s">
        <v>4947</v>
      </c>
      <c r="E171" s="168" t="s">
        <v>2294</v>
      </c>
      <c r="F171" s="168" t="s">
        <v>4623</v>
      </c>
      <c r="G171" s="168" t="s">
        <v>4623</v>
      </c>
      <c r="H171" s="292" t="s">
        <v>4623</v>
      </c>
      <c r="I171" s="293" t="s">
        <v>4623</v>
      </c>
      <c r="J171" s="293" t="s">
        <v>4623</v>
      </c>
      <c r="K171" s="290" t="s">
        <v>4623</v>
      </c>
      <c r="L171" s="290" t="s">
        <v>4623</v>
      </c>
      <c r="M171" s="290" t="s">
        <v>4623</v>
      </c>
      <c r="N171" s="290" t="s">
        <v>4623</v>
      </c>
      <c r="O171" s="290" t="s">
        <v>4623</v>
      </c>
      <c r="P171" s="290" t="s">
        <v>999</v>
      </c>
      <c r="Q171" s="291" t="s">
        <v>4623</v>
      </c>
      <c r="R171" s="276"/>
      <c r="S171" s="277">
        <f>IF(OR(C171="",C171=T$4),NA(),MATCH($B171&amp;$C171,'Smelter Reference List'!$J:$J,0))</f>
        <v>222</v>
      </c>
      <c r="T171" s="278"/>
      <c r="U171" s="278"/>
      <c r="V171" s="278"/>
      <c r="W171" s="278"/>
    </row>
    <row r="172" spans="1:23" s="269" customFormat="1" ht="20.25">
      <c r="A172" s="267"/>
      <c r="B172" s="275" t="s">
        <v>2436</v>
      </c>
      <c r="C172" s="275" t="s">
        <v>3831</v>
      </c>
      <c r="D172" s="168" t="s">
        <v>4948</v>
      </c>
      <c r="E172" s="168" t="s">
        <v>2294</v>
      </c>
      <c r="F172" s="168" t="s">
        <v>4623</v>
      </c>
      <c r="G172" s="168" t="s">
        <v>4623</v>
      </c>
      <c r="H172" s="292" t="s">
        <v>4623</v>
      </c>
      <c r="I172" s="293" t="s">
        <v>4623</v>
      </c>
      <c r="J172" s="293" t="s">
        <v>4623</v>
      </c>
      <c r="K172" s="290" t="s">
        <v>4623</v>
      </c>
      <c r="L172" s="290" t="s">
        <v>4623</v>
      </c>
      <c r="M172" s="290" t="s">
        <v>4623</v>
      </c>
      <c r="N172" s="290" t="s">
        <v>4623</v>
      </c>
      <c r="O172" s="290" t="s">
        <v>4623</v>
      </c>
      <c r="P172" s="290" t="s">
        <v>999</v>
      </c>
      <c r="Q172" s="291" t="s">
        <v>4623</v>
      </c>
      <c r="R172" s="276"/>
      <c r="S172" s="277">
        <f>IF(OR(C172="",C172=T$4),NA(),MATCH($B172&amp;$C172,'Smelter Reference List'!$J:$J,0))</f>
        <v>222</v>
      </c>
      <c r="T172" s="278"/>
      <c r="U172" s="278"/>
      <c r="V172" s="278"/>
      <c r="W172" s="278"/>
    </row>
    <row r="173" spans="1:23" s="269" customFormat="1" ht="20.25">
      <c r="A173" s="267"/>
      <c r="B173" s="275" t="s">
        <v>2436</v>
      </c>
      <c r="C173" s="275" t="s">
        <v>3831</v>
      </c>
      <c r="D173" s="168" t="s">
        <v>4560</v>
      </c>
      <c r="E173" s="168" t="s">
        <v>2294</v>
      </c>
      <c r="F173" s="168" t="s">
        <v>4623</v>
      </c>
      <c r="G173" s="168" t="s">
        <v>4623</v>
      </c>
      <c r="H173" s="292" t="s">
        <v>4623</v>
      </c>
      <c r="I173" s="293" t="s">
        <v>4623</v>
      </c>
      <c r="J173" s="293" t="s">
        <v>4623</v>
      </c>
      <c r="K173" s="290" t="s">
        <v>4623</v>
      </c>
      <c r="L173" s="290" t="s">
        <v>4623</v>
      </c>
      <c r="M173" s="290" t="s">
        <v>4623</v>
      </c>
      <c r="N173" s="290" t="s">
        <v>4623</v>
      </c>
      <c r="O173" s="290" t="s">
        <v>4623</v>
      </c>
      <c r="P173" s="290" t="s">
        <v>999</v>
      </c>
      <c r="Q173" s="291" t="s">
        <v>4623</v>
      </c>
      <c r="R173" s="276"/>
      <c r="S173" s="277">
        <f>IF(OR(C173="",C173=T$4),NA(),MATCH($B173&amp;$C173,'Smelter Reference List'!$J:$J,0))</f>
        <v>222</v>
      </c>
      <c r="T173" s="278"/>
      <c r="U173" s="278"/>
      <c r="V173" s="278"/>
      <c r="W173" s="278"/>
    </row>
    <row r="174" spans="1:23" s="269" customFormat="1" ht="20.25">
      <c r="A174" s="267"/>
      <c r="B174" s="275" t="s">
        <v>2436</v>
      </c>
      <c r="C174" s="275" t="s">
        <v>3831</v>
      </c>
      <c r="D174" s="168" t="s">
        <v>4949</v>
      </c>
      <c r="E174" s="168" t="s">
        <v>2294</v>
      </c>
      <c r="F174" s="168" t="s">
        <v>4623</v>
      </c>
      <c r="G174" s="168" t="s">
        <v>4623</v>
      </c>
      <c r="H174" s="292" t="s">
        <v>4623</v>
      </c>
      <c r="I174" s="293" t="s">
        <v>4623</v>
      </c>
      <c r="J174" s="293" t="s">
        <v>4623</v>
      </c>
      <c r="K174" s="290" t="s">
        <v>4623</v>
      </c>
      <c r="L174" s="290" t="s">
        <v>4623</v>
      </c>
      <c r="M174" s="290" t="s">
        <v>4623</v>
      </c>
      <c r="N174" s="290" t="s">
        <v>4623</v>
      </c>
      <c r="O174" s="290" t="s">
        <v>4623</v>
      </c>
      <c r="P174" s="290" t="s">
        <v>999</v>
      </c>
      <c r="Q174" s="291" t="s">
        <v>4623</v>
      </c>
      <c r="R174" s="276"/>
      <c r="S174" s="277">
        <f>IF(OR(C174="",C174=T$4),NA(),MATCH($B174&amp;$C174,'Smelter Reference List'!$J:$J,0))</f>
        <v>222</v>
      </c>
      <c r="T174" s="278"/>
      <c r="U174" s="278"/>
      <c r="V174" s="278"/>
      <c r="W174" s="278"/>
    </row>
    <row r="175" spans="1:23" s="269" customFormat="1" ht="20.25">
      <c r="A175" s="267"/>
      <c r="B175" s="275" t="s">
        <v>2436</v>
      </c>
      <c r="C175" s="275" t="s">
        <v>3831</v>
      </c>
      <c r="D175" s="168" t="s">
        <v>4950</v>
      </c>
      <c r="E175" s="168" t="s">
        <v>2294</v>
      </c>
      <c r="F175" s="168" t="s">
        <v>4623</v>
      </c>
      <c r="G175" s="168" t="s">
        <v>4623</v>
      </c>
      <c r="H175" s="292" t="s">
        <v>4623</v>
      </c>
      <c r="I175" s="293" t="s">
        <v>4623</v>
      </c>
      <c r="J175" s="293" t="s">
        <v>4623</v>
      </c>
      <c r="K175" s="290" t="s">
        <v>4623</v>
      </c>
      <c r="L175" s="290" t="s">
        <v>4623</v>
      </c>
      <c r="M175" s="290" t="s">
        <v>4623</v>
      </c>
      <c r="N175" s="290" t="s">
        <v>4623</v>
      </c>
      <c r="O175" s="290" t="s">
        <v>4623</v>
      </c>
      <c r="P175" s="290" t="s">
        <v>999</v>
      </c>
      <c r="Q175" s="291" t="s">
        <v>4623</v>
      </c>
      <c r="R175" s="276"/>
      <c r="S175" s="277">
        <f>IF(OR(C175="",C175=T$4),NA(),MATCH($B175&amp;$C175,'Smelter Reference List'!$J:$J,0))</f>
        <v>222</v>
      </c>
      <c r="T175" s="278"/>
      <c r="U175" s="278"/>
      <c r="V175" s="278"/>
      <c r="W175" s="278"/>
    </row>
    <row r="176" spans="1:23" s="269" customFormat="1" ht="20.25">
      <c r="A176" s="267"/>
      <c r="B176" s="275" t="s">
        <v>2436</v>
      </c>
      <c r="C176" s="275" t="s">
        <v>3831</v>
      </c>
      <c r="D176" s="168" t="s">
        <v>4951</v>
      </c>
      <c r="E176" s="168" t="s">
        <v>2294</v>
      </c>
      <c r="F176" s="168" t="s">
        <v>4623</v>
      </c>
      <c r="G176" s="168" t="s">
        <v>4623</v>
      </c>
      <c r="H176" s="292" t="s">
        <v>4623</v>
      </c>
      <c r="I176" s="293" t="s">
        <v>4623</v>
      </c>
      <c r="J176" s="293" t="s">
        <v>4623</v>
      </c>
      <c r="K176" s="290" t="s">
        <v>4623</v>
      </c>
      <c r="L176" s="290" t="s">
        <v>4623</v>
      </c>
      <c r="M176" s="290" t="s">
        <v>4623</v>
      </c>
      <c r="N176" s="290" t="s">
        <v>4623</v>
      </c>
      <c r="O176" s="290" t="s">
        <v>4623</v>
      </c>
      <c r="P176" s="290" t="s">
        <v>999</v>
      </c>
      <c r="Q176" s="291" t="s">
        <v>4623</v>
      </c>
      <c r="R176" s="276"/>
      <c r="S176" s="277">
        <f>IF(OR(C176="",C176=T$4),NA(),MATCH($B176&amp;$C176,'Smelter Reference List'!$J:$J,0))</f>
        <v>222</v>
      </c>
      <c r="T176" s="278"/>
      <c r="U176" s="278"/>
      <c r="V176" s="278"/>
      <c r="W176" s="278"/>
    </row>
    <row r="177" spans="1:23" s="269" customFormat="1" ht="20.25">
      <c r="A177" s="267"/>
      <c r="B177" s="275" t="s">
        <v>2436</v>
      </c>
      <c r="C177" s="275" t="s">
        <v>3831</v>
      </c>
      <c r="D177" s="168" t="s">
        <v>4952</v>
      </c>
      <c r="E177" s="168" t="s">
        <v>2294</v>
      </c>
      <c r="F177" s="168" t="s">
        <v>4623</v>
      </c>
      <c r="G177" s="168" t="s">
        <v>4623</v>
      </c>
      <c r="H177" s="292" t="s">
        <v>4623</v>
      </c>
      <c r="I177" s="293" t="s">
        <v>4623</v>
      </c>
      <c r="J177" s="293" t="s">
        <v>4623</v>
      </c>
      <c r="K177" s="290" t="s">
        <v>4623</v>
      </c>
      <c r="L177" s="290" t="s">
        <v>4623</v>
      </c>
      <c r="M177" s="290" t="s">
        <v>4623</v>
      </c>
      <c r="N177" s="290" t="s">
        <v>4623</v>
      </c>
      <c r="O177" s="290" t="s">
        <v>4623</v>
      </c>
      <c r="P177" s="290" t="s">
        <v>999</v>
      </c>
      <c r="Q177" s="291" t="s">
        <v>4623</v>
      </c>
      <c r="R177" s="276"/>
      <c r="S177" s="277">
        <f>IF(OR(C177="",C177=T$4),NA(),MATCH($B177&amp;$C177,'Smelter Reference List'!$J:$J,0))</f>
        <v>222</v>
      </c>
      <c r="T177" s="278"/>
      <c r="U177" s="278"/>
      <c r="V177" s="278"/>
      <c r="W177" s="278"/>
    </row>
    <row r="178" spans="1:23" s="269" customFormat="1" ht="20.25">
      <c r="A178" s="267"/>
      <c r="B178" s="275" t="s">
        <v>2436</v>
      </c>
      <c r="C178" s="275" t="s">
        <v>3831</v>
      </c>
      <c r="D178" s="168" t="s">
        <v>4953</v>
      </c>
      <c r="E178" s="168" t="s">
        <v>2294</v>
      </c>
      <c r="F178" s="168" t="s">
        <v>4623</v>
      </c>
      <c r="G178" s="168" t="s">
        <v>4623</v>
      </c>
      <c r="H178" s="292" t="s">
        <v>4623</v>
      </c>
      <c r="I178" s="293" t="s">
        <v>4623</v>
      </c>
      <c r="J178" s="293" t="s">
        <v>4623</v>
      </c>
      <c r="K178" s="290" t="s">
        <v>4623</v>
      </c>
      <c r="L178" s="290" t="s">
        <v>4623</v>
      </c>
      <c r="M178" s="290" t="s">
        <v>4623</v>
      </c>
      <c r="N178" s="290" t="s">
        <v>4623</v>
      </c>
      <c r="O178" s="290" t="s">
        <v>4623</v>
      </c>
      <c r="P178" s="290" t="s">
        <v>999</v>
      </c>
      <c r="Q178" s="291" t="s">
        <v>4623</v>
      </c>
      <c r="R178" s="276"/>
      <c r="S178" s="277">
        <f>IF(OR(C178="",C178=T$4),NA(),MATCH($B178&amp;$C178,'Smelter Reference List'!$J:$J,0))</f>
        <v>222</v>
      </c>
      <c r="T178" s="278"/>
      <c r="U178" s="278"/>
      <c r="V178" s="278"/>
      <c r="W178" s="278"/>
    </row>
    <row r="179" spans="1:23" s="269" customFormat="1" ht="20.25">
      <c r="A179" s="267"/>
      <c r="B179" s="275" t="s">
        <v>2436</v>
      </c>
      <c r="C179" s="275" t="s">
        <v>3831</v>
      </c>
      <c r="D179" s="168" t="s">
        <v>4954</v>
      </c>
      <c r="E179" s="168" t="s">
        <v>2294</v>
      </c>
      <c r="F179" s="168" t="s">
        <v>4623</v>
      </c>
      <c r="G179" s="168" t="s">
        <v>4623</v>
      </c>
      <c r="H179" s="292" t="s">
        <v>4623</v>
      </c>
      <c r="I179" s="293" t="s">
        <v>4623</v>
      </c>
      <c r="J179" s="293" t="s">
        <v>4623</v>
      </c>
      <c r="K179" s="290" t="s">
        <v>4623</v>
      </c>
      <c r="L179" s="290" t="s">
        <v>4623</v>
      </c>
      <c r="M179" s="290" t="s">
        <v>4623</v>
      </c>
      <c r="N179" s="290" t="s">
        <v>4623</v>
      </c>
      <c r="O179" s="290" t="s">
        <v>4623</v>
      </c>
      <c r="P179" s="290" t="s">
        <v>999</v>
      </c>
      <c r="Q179" s="291" t="s">
        <v>4623</v>
      </c>
      <c r="R179" s="276"/>
      <c r="S179" s="277">
        <f>IF(OR(C179="",C179=T$4),NA(),MATCH($B179&amp;$C179,'Smelter Reference List'!$J:$J,0))</f>
        <v>222</v>
      </c>
      <c r="T179" s="278"/>
      <c r="U179" s="278"/>
      <c r="V179" s="278"/>
      <c r="W179" s="278"/>
    </row>
    <row r="180" spans="1:23" s="269" customFormat="1" ht="20.25">
      <c r="A180" s="267"/>
      <c r="B180" s="275" t="s">
        <v>2436</v>
      </c>
      <c r="C180" s="275" t="s">
        <v>3831</v>
      </c>
      <c r="D180" s="168" t="s">
        <v>4955</v>
      </c>
      <c r="E180" s="168" t="s">
        <v>2294</v>
      </c>
      <c r="F180" s="168" t="s">
        <v>4623</v>
      </c>
      <c r="G180" s="168" t="s">
        <v>4623</v>
      </c>
      <c r="H180" s="292" t="s">
        <v>4956</v>
      </c>
      <c r="I180" s="293" t="s">
        <v>4623</v>
      </c>
      <c r="J180" s="293" t="s">
        <v>4623</v>
      </c>
      <c r="K180" s="290" t="s">
        <v>4623</v>
      </c>
      <c r="L180" s="290" t="s">
        <v>4623</v>
      </c>
      <c r="M180" s="290" t="s">
        <v>4623</v>
      </c>
      <c r="N180" s="290" t="s">
        <v>4623</v>
      </c>
      <c r="O180" s="290" t="s">
        <v>4623</v>
      </c>
      <c r="P180" s="290" t="s">
        <v>999</v>
      </c>
      <c r="Q180" s="291" t="s">
        <v>4623</v>
      </c>
      <c r="R180" s="276"/>
      <c r="S180" s="277">
        <f>IF(OR(C180="",C180=T$4),NA(),MATCH($B180&amp;$C180,'Smelter Reference List'!$J:$J,0))</f>
        <v>222</v>
      </c>
      <c r="T180" s="278"/>
      <c r="U180" s="278"/>
      <c r="V180" s="278"/>
      <c r="W180" s="278"/>
    </row>
    <row r="181" spans="1:23" s="269" customFormat="1" ht="20.25">
      <c r="A181" s="267"/>
      <c r="B181" s="275" t="s">
        <v>2436</v>
      </c>
      <c r="C181" s="275" t="s">
        <v>3831</v>
      </c>
      <c r="D181" s="168" t="s">
        <v>4957</v>
      </c>
      <c r="E181" s="168" t="s">
        <v>2294</v>
      </c>
      <c r="F181" s="168" t="s">
        <v>4623</v>
      </c>
      <c r="G181" s="168" t="s">
        <v>4623</v>
      </c>
      <c r="H181" s="292" t="s">
        <v>4623</v>
      </c>
      <c r="I181" s="293" t="s">
        <v>4623</v>
      </c>
      <c r="J181" s="293" t="s">
        <v>4623</v>
      </c>
      <c r="K181" s="290" t="s">
        <v>4623</v>
      </c>
      <c r="L181" s="290" t="s">
        <v>4623</v>
      </c>
      <c r="M181" s="290" t="s">
        <v>4623</v>
      </c>
      <c r="N181" s="290" t="s">
        <v>4623</v>
      </c>
      <c r="O181" s="290" t="s">
        <v>4623</v>
      </c>
      <c r="P181" s="290" t="s">
        <v>999</v>
      </c>
      <c r="Q181" s="291" t="s">
        <v>4623</v>
      </c>
      <c r="R181" s="276"/>
      <c r="S181" s="277">
        <f>IF(OR(C181="",C181=T$4),NA(),MATCH($B181&amp;$C181,'Smelter Reference List'!$J:$J,0))</f>
        <v>222</v>
      </c>
      <c r="T181" s="278"/>
      <c r="U181" s="278"/>
      <c r="V181" s="278"/>
      <c r="W181" s="278"/>
    </row>
    <row r="182" spans="1:23" s="269" customFormat="1" ht="20.25">
      <c r="A182" s="267"/>
      <c r="B182" s="275" t="s">
        <v>2436</v>
      </c>
      <c r="C182" s="275" t="s">
        <v>3831</v>
      </c>
      <c r="D182" s="168" t="s">
        <v>4958</v>
      </c>
      <c r="E182" s="168" t="s">
        <v>2294</v>
      </c>
      <c r="F182" s="168" t="s">
        <v>4623</v>
      </c>
      <c r="G182" s="168" t="s">
        <v>4623</v>
      </c>
      <c r="H182" s="292" t="s">
        <v>4623</v>
      </c>
      <c r="I182" s="293" t="s">
        <v>4623</v>
      </c>
      <c r="J182" s="293" t="s">
        <v>4623</v>
      </c>
      <c r="K182" s="290" t="s">
        <v>4623</v>
      </c>
      <c r="L182" s="290" t="s">
        <v>4623</v>
      </c>
      <c r="M182" s="290" t="s">
        <v>4623</v>
      </c>
      <c r="N182" s="290" t="s">
        <v>4623</v>
      </c>
      <c r="O182" s="290" t="s">
        <v>4623</v>
      </c>
      <c r="P182" s="290" t="s">
        <v>999</v>
      </c>
      <c r="Q182" s="291" t="s">
        <v>4623</v>
      </c>
      <c r="R182" s="276"/>
      <c r="S182" s="277">
        <f>IF(OR(C182="",C182=T$4),NA(),MATCH($B182&amp;$C182,'Smelter Reference List'!$J:$J,0))</f>
        <v>222</v>
      </c>
      <c r="T182" s="278"/>
      <c r="U182" s="278"/>
      <c r="V182" s="278"/>
      <c r="W182" s="278"/>
    </row>
    <row r="183" spans="1:23" s="269" customFormat="1" ht="20.25">
      <c r="A183" s="267"/>
      <c r="B183" s="275" t="s">
        <v>2436</v>
      </c>
      <c r="C183" s="275" t="s">
        <v>3831</v>
      </c>
      <c r="D183" s="168" t="s">
        <v>4959</v>
      </c>
      <c r="E183" s="168" t="s">
        <v>2294</v>
      </c>
      <c r="F183" s="168" t="s">
        <v>4960</v>
      </c>
      <c r="G183" s="168" t="s">
        <v>3324</v>
      </c>
      <c r="H183" s="292" t="s">
        <v>4623</v>
      </c>
      <c r="I183" s="293" t="s">
        <v>4623</v>
      </c>
      <c r="J183" s="293" t="s">
        <v>4623</v>
      </c>
      <c r="K183" s="290" t="s">
        <v>4623</v>
      </c>
      <c r="L183" s="290" t="s">
        <v>4623</v>
      </c>
      <c r="M183" s="290" t="s">
        <v>4623</v>
      </c>
      <c r="N183" s="290" t="s">
        <v>4623</v>
      </c>
      <c r="O183" s="290" t="s">
        <v>4623</v>
      </c>
      <c r="P183" s="290" t="s">
        <v>999</v>
      </c>
      <c r="Q183" s="291" t="s">
        <v>4623</v>
      </c>
      <c r="R183" s="276"/>
      <c r="S183" s="277">
        <f>IF(OR(C183="",C183=T$4),NA(),MATCH($B183&amp;$C183,'Smelter Reference List'!$J:$J,0))</f>
        <v>222</v>
      </c>
      <c r="T183" s="278"/>
      <c r="U183" s="278"/>
      <c r="V183" s="278"/>
      <c r="W183" s="278"/>
    </row>
    <row r="184" spans="1:23" s="269" customFormat="1" ht="20.25">
      <c r="A184" s="267"/>
      <c r="B184" s="275" t="s">
        <v>2436</v>
      </c>
      <c r="C184" s="275" t="s">
        <v>3831</v>
      </c>
      <c r="D184" s="168" t="s">
        <v>4961</v>
      </c>
      <c r="E184" s="168" t="s">
        <v>2294</v>
      </c>
      <c r="F184" s="168" t="s">
        <v>4623</v>
      </c>
      <c r="G184" s="168" t="s">
        <v>4623</v>
      </c>
      <c r="H184" s="292" t="s">
        <v>4623</v>
      </c>
      <c r="I184" s="293" t="s">
        <v>4623</v>
      </c>
      <c r="J184" s="293" t="s">
        <v>4623</v>
      </c>
      <c r="K184" s="290" t="s">
        <v>4623</v>
      </c>
      <c r="L184" s="290" t="s">
        <v>4623</v>
      </c>
      <c r="M184" s="290" t="s">
        <v>4623</v>
      </c>
      <c r="N184" s="290" t="s">
        <v>4623</v>
      </c>
      <c r="O184" s="290" t="s">
        <v>4623</v>
      </c>
      <c r="P184" s="290" t="s">
        <v>999</v>
      </c>
      <c r="Q184" s="291" t="s">
        <v>4623</v>
      </c>
      <c r="R184" s="276"/>
      <c r="S184" s="277">
        <f>IF(OR(C184="",C184=T$4),NA(),MATCH($B184&amp;$C184,'Smelter Reference List'!$J:$J,0))</f>
        <v>222</v>
      </c>
      <c r="T184" s="278"/>
      <c r="U184" s="278"/>
      <c r="V184" s="278"/>
      <c r="W184" s="278"/>
    </row>
    <row r="185" spans="1:23" s="269" customFormat="1" ht="20.25">
      <c r="A185" s="267"/>
      <c r="B185" s="275" t="s">
        <v>2436</v>
      </c>
      <c r="C185" s="275" t="s">
        <v>3831</v>
      </c>
      <c r="D185" s="168" t="s">
        <v>4962</v>
      </c>
      <c r="E185" s="168" t="s">
        <v>2294</v>
      </c>
      <c r="F185" s="168" t="s">
        <v>4623</v>
      </c>
      <c r="G185" s="168" t="s">
        <v>4623</v>
      </c>
      <c r="H185" s="292" t="s">
        <v>4623</v>
      </c>
      <c r="I185" s="293" t="s">
        <v>4623</v>
      </c>
      <c r="J185" s="293" t="s">
        <v>4623</v>
      </c>
      <c r="K185" s="290" t="s">
        <v>4623</v>
      </c>
      <c r="L185" s="290" t="s">
        <v>4623</v>
      </c>
      <c r="M185" s="290" t="s">
        <v>4623</v>
      </c>
      <c r="N185" s="290" t="s">
        <v>4623</v>
      </c>
      <c r="O185" s="290" t="s">
        <v>4623</v>
      </c>
      <c r="P185" s="290" t="s">
        <v>999</v>
      </c>
      <c r="Q185" s="291" t="s">
        <v>4623</v>
      </c>
      <c r="R185" s="276"/>
      <c r="S185" s="277">
        <f>IF(OR(C185="",C185=T$4),NA(),MATCH($B185&amp;$C185,'Smelter Reference List'!$J:$J,0))</f>
        <v>222</v>
      </c>
      <c r="T185" s="278"/>
      <c r="U185" s="278"/>
      <c r="V185" s="278"/>
      <c r="W185" s="278"/>
    </row>
    <row r="186" spans="1:23" s="269" customFormat="1" ht="20.25">
      <c r="A186" s="267"/>
      <c r="B186" s="275" t="s">
        <v>2436</v>
      </c>
      <c r="C186" s="275" t="s">
        <v>3831</v>
      </c>
      <c r="D186" s="168" t="s">
        <v>4963</v>
      </c>
      <c r="E186" s="168" t="s">
        <v>2294</v>
      </c>
      <c r="F186" s="168" t="s">
        <v>4623</v>
      </c>
      <c r="G186" s="168" t="s">
        <v>4623</v>
      </c>
      <c r="H186" s="292" t="s">
        <v>4964</v>
      </c>
      <c r="I186" s="293" t="s">
        <v>4956</v>
      </c>
      <c r="J186" s="293" t="s">
        <v>4965</v>
      </c>
      <c r="K186" s="290" t="s">
        <v>999</v>
      </c>
      <c r="L186" s="290" t="s">
        <v>4623</v>
      </c>
      <c r="M186" s="290" t="s">
        <v>4623</v>
      </c>
      <c r="N186" s="290" t="s">
        <v>4623</v>
      </c>
      <c r="O186" s="290" t="s">
        <v>4623</v>
      </c>
      <c r="P186" s="290" t="s">
        <v>999</v>
      </c>
      <c r="Q186" s="291" t="s">
        <v>4623</v>
      </c>
      <c r="R186" s="276"/>
      <c r="S186" s="277">
        <f>IF(OR(C186="",C186=T$4),NA(),MATCH($B186&amp;$C186,'Smelter Reference List'!$J:$J,0))</f>
        <v>222</v>
      </c>
      <c r="T186" s="278"/>
      <c r="U186" s="278"/>
      <c r="V186" s="278"/>
      <c r="W186" s="278"/>
    </row>
    <row r="187" spans="1:23" s="269" customFormat="1" ht="20.25">
      <c r="A187" s="267"/>
      <c r="B187" s="275" t="s">
        <v>2436</v>
      </c>
      <c r="C187" s="275" t="s">
        <v>3831</v>
      </c>
      <c r="D187" s="168" t="s">
        <v>4966</v>
      </c>
      <c r="E187" s="168" t="s">
        <v>2294</v>
      </c>
      <c r="F187" s="168" t="s">
        <v>4623</v>
      </c>
      <c r="G187" s="168" t="s">
        <v>4623</v>
      </c>
      <c r="H187" s="292" t="s">
        <v>4623</v>
      </c>
      <c r="I187" s="293" t="s">
        <v>4623</v>
      </c>
      <c r="J187" s="293" t="s">
        <v>4623</v>
      </c>
      <c r="K187" s="290" t="s">
        <v>4623</v>
      </c>
      <c r="L187" s="290" t="s">
        <v>4623</v>
      </c>
      <c r="M187" s="290" t="s">
        <v>4623</v>
      </c>
      <c r="N187" s="290" t="s">
        <v>4623</v>
      </c>
      <c r="O187" s="290" t="s">
        <v>4623</v>
      </c>
      <c r="P187" s="290" t="s">
        <v>999</v>
      </c>
      <c r="Q187" s="291" t="s">
        <v>4623</v>
      </c>
      <c r="R187" s="276"/>
      <c r="S187" s="277">
        <f>IF(OR(C187="",C187=T$4),NA(),MATCH($B187&amp;$C187,'Smelter Reference List'!$J:$J,0))</f>
        <v>222</v>
      </c>
      <c r="T187" s="278"/>
      <c r="U187" s="278"/>
      <c r="V187" s="278"/>
      <c r="W187" s="278"/>
    </row>
    <row r="188" spans="1:23" s="269" customFormat="1" ht="20.25">
      <c r="A188" s="267"/>
      <c r="B188" s="275" t="s">
        <v>2436</v>
      </c>
      <c r="C188" s="275" t="s">
        <v>3831</v>
      </c>
      <c r="D188" s="168" t="s">
        <v>4967</v>
      </c>
      <c r="E188" s="168" t="s">
        <v>2294</v>
      </c>
      <c r="F188" s="168" t="s">
        <v>4623</v>
      </c>
      <c r="G188" s="168" t="s">
        <v>4623</v>
      </c>
      <c r="H188" s="292" t="s">
        <v>4968</v>
      </c>
      <c r="I188" s="293" t="s">
        <v>4623</v>
      </c>
      <c r="J188" s="293" t="s">
        <v>4969</v>
      </c>
      <c r="K188" s="290" t="s">
        <v>4623</v>
      </c>
      <c r="L188" s="290" t="s">
        <v>4623</v>
      </c>
      <c r="M188" s="290" t="s">
        <v>4623</v>
      </c>
      <c r="N188" s="290" t="s">
        <v>4623</v>
      </c>
      <c r="O188" s="290" t="s">
        <v>4623</v>
      </c>
      <c r="P188" s="290" t="s">
        <v>999</v>
      </c>
      <c r="Q188" s="291" t="s">
        <v>4623</v>
      </c>
      <c r="R188" s="276"/>
      <c r="S188" s="277">
        <f>IF(OR(C188="",C188=T$4),NA(),MATCH($B188&amp;$C188,'Smelter Reference List'!$J:$J,0))</f>
        <v>222</v>
      </c>
      <c r="T188" s="278"/>
      <c r="U188" s="278"/>
      <c r="V188" s="278"/>
      <c r="W188" s="278"/>
    </row>
    <row r="189" spans="1:23" s="269" customFormat="1" ht="20.25">
      <c r="A189" s="267"/>
      <c r="B189" s="275" t="s">
        <v>2436</v>
      </c>
      <c r="C189" s="275" t="s">
        <v>3831</v>
      </c>
      <c r="D189" s="168" t="s">
        <v>4970</v>
      </c>
      <c r="E189" s="168" t="s">
        <v>2294</v>
      </c>
      <c r="F189" s="168" t="s">
        <v>4623</v>
      </c>
      <c r="G189" s="168" t="s">
        <v>4623</v>
      </c>
      <c r="H189" s="292" t="s">
        <v>4623</v>
      </c>
      <c r="I189" s="293" t="s">
        <v>4623</v>
      </c>
      <c r="J189" s="293" t="s">
        <v>4623</v>
      </c>
      <c r="K189" s="290" t="s">
        <v>4623</v>
      </c>
      <c r="L189" s="290" t="s">
        <v>4623</v>
      </c>
      <c r="M189" s="290" t="s">
        <v>4623</v>
      </c>
      <c r="N189" s="290" t="s">
        <v>4623</v>
      </c>
      <c r="O189" s="290" t="s">
        <v>4623</v>
      </c>
      <c r="P189" s="290" t="s">
        <v>999</v>
      </c>
      <c r="Q189" s="291" t="s">
        <v>4623</v>
      </c>
      <c r="R189" s="276"/>
      <c r="S189" s="277">
        <f>IF(OR(C189="",C189=T$4),NA(),MATCH($B189&amp;$C189,'Smelter Reference List'!$J:$J,0))</f>
        <v>222</v>
      </c>
      <c r="T189" s="278"/>
      <c r="U189" s="278"/>
      <c r="V189" s="278"/>
      <c r="W189" s="278"/>
    </row>
    <row r="190" spans="1:23" s="269" customFormat="1" ht="20.25">
      <c r="A190" s="267"/>
      <c r="B190" s="275" t="s">
        <v>2436</v>
      </c>
      <c r="C190" s="275" t="s">
        <v>3831</v>
      </c>
      <c r="D190" s="168" t="s">
        <v>4971</v>
      </c>
      <c r="E190" s="168" t="s">
        <v>2294</v>
      </c>
      <c r="F190" s="168" t="s">
        <v>4623</v>
      </c>
      <c r="G190" s="168" t="s">
        <v>4623</v>
      </c>
      <c r="H190" s="292" t="s">
        <v>4623</v>
      </c>
      <c r="I190" s="293" t="s">
        <v>4623</v>
      </c>
      <c r="J190" s="293" t="s">
        <v>4623</v>
      </c>
      <c r="K190" s="290" t="s">
        <v>4623</v>
      </c>
      <c r="L190" s="290" t="s">
        <v>4623</v>
      </c>
      <c r="M190" s="290" t="s">
        <v>4623</v>
      </c>
      <c r="N190" s="290" t="s">
        <v>4623</v>
      </c>
      <c r="O190" s="290" t="s">
        <v>4623</v>
      </c>
      <c r="P190" s="290" t="s">
        <v>999</v>
      </c>
      <c r="Q190" s="291" t="s">
        <v>4623</v>
      </c>
      <c r="R190" s="276"/>
      <c r="S190" s="277">
        <f>IF(OR(C190="",C190=T$4),NA(),MATCH($B190&amp;$C190,'Smelter Reference List'!$J:$J,0))</f>
        <v>222</v>
      </c>
      <c r="T190" s="278"/>
      <c r="U190" s="278"/>
      <c r="V190" s="278"/>
      <c r="W190" s="278"/>
    </row>
    <row r="191" spans="1:23" s="269" customFormat="1" ht="20.25">
      <c r="A191" s="267"/>
      <c r="B191" s="275" t="s">
        <v>2436</v>
      </c>
      <c r="C191" s="275" t="s">
        <v>3831</v>
      </c>
      <c r="D191" s="168" t="s">
        <v>4972</v>
      </c>
      <c r="E191" s="168" t="s">
        <v>2294</v>
      </c>
      <c r="F191" s="168" t="s">
        <v>4623</v>
      </c>
      <c r="G191" s="168" t="s">
        <v>4623</v>
      </c>
      <c r="H191" s="292" t="s">
        <v>4973</v>
      </c>
      <c r="I191" s="293" t="s">
        <v>4974</v>
      </c>
      <c r="J191" s="293" t="s">
        <v>3408</v>
      </c>
      <c r="K191" s="290" t="s">
        <v>4623</v>
      </c>
      <c r="L191" s="290" t="s">
        <v>4975</v>
      </c>
      <c r="M191" s="290" t="s">
        <v>4623</v>
      </c>
      <c r="N191" s="290" t="s">
        <v>4623</v>
      </c>
      <c r="O191" s="290" t="s">
        <v>4623</v>
      </c>
      <c r="P191" s="290" t="s">
        <v>999</v>
      </c>
      <c r="Q191" s="291" t="s">
        <v>4623</v>
      </c>
      <c r="R191" s="276"/>
      <c r="S191" s="277">
        <f>IF(OR(C191="",C191=T$4),NA(),MATCH($B191&amp;$C191,'Smelter Reference List'!$J:$J,0))</f>
        <v>222</v>
      </c>
      <c r="T191" s="278"/>
      <c r="U191" s="278"/>
      <c r="V191" s="278"/>
      <c r="W191" s="278"/>
    </row>
    <row r="192" spans="1:23" s="269" customFormat="1" ht="20.25">
      <c r="A192" s="267"/>
      <c r="B192" s="275" t="s">
        <v>2436</v>
      </c>
      <c r="C192" s="275" t="s">
        <v>3831</v>
      </c>
      <c r="D192" s="168" t="s">
        <v>4976</v>
      </c>
      <c r="E192" s="168" t="s">
        <v>2294</v>
      </c>
      <c r="F192" s="168" t="s">
        <v>4623</v>
      </c>
      <c r="G192" s="168" t="s">
        <v>4623</v>
      </c>
      <c r="H192" s="292" t="s">
        <v>4623</v>
      </c>
      <c r="I192" s="293" t="s">
        <v>4623</v>
      </c>
      <c r="J192" s="293" t="s">
        <v>4623</v>
      </c>
      <c r="K192" s="290" t="s">
        <v>4623</v>
      </c>
      <c r="L192" s="290" t="s">
        <v>4623</v>
      </c>
      <c r="M192" s="290" t="s">
        <v>4623</v>
      </c>
      <c r="N192" s="290" t="s">
        <v>4623</v>
      </c>
      <c r="O192" s="290" t="s">
        <v>4623</v>
      </c>
      <c r="P192" s="290" t="s">
        <v>999</v>
      </c>
      <c r="Q192" s="291" t="s">
        <v>4623</v>
      </c>
      <c r="R192" s="276"/>
      <c r="S192" s="277">
        <f>IF(OR(C192="",C192=T$4),NA(),MATCH($B192&amp;$C192,'Smelter Reference List'!$J:$J,0))</f>
        <v>222</v>
      </c>
      <c r="T192" s="278"/>
      <c r="U192" s="278"/>
      <c r="V192" s="278"/>
      <c r="W192" s="278"/>
    </row>
    <row r="193" spans="1:23" s="269" customFormat="1" ht="20.25">
      <c r="A193" s="267"/>
      <c r="B193" s="275" t="s">
        <v>2436</v>
      </c>
      <c r="C193" s="275" t="s">
        <v>3831</v>
      </c>
      <c r="D193" s="168" t="s">
        <v>4977</v>
      </c>
      <c r="E193" s="168" t="s">
        <v>2294</v>
      </c>
      <c r="F193" s="168" t="s">
        <v>4623</v>
      </c>
      <c r="G193" s="168" t="s">
        <v>4623</v>
      </c>
      <c r="H193" s="292" t="s">
        <v>4623</v>
      </c>
      <c r="I193" s="293" t="s">
        <v>4623</v>
      </c>
      <c r="J193" s="293" t="s">
        <v>4623</v>
      </c>
      <c r="K193" s="290" t="s">
        <v>4623</v>
      </c>
      <c r="L193" s="290" t="s">
        <v>4623</v>
      </c>
      <c r="M193" s="290" t="s">
        <v>4623</v>
      </c>
      <c r="N193" s="290" t="s">
        <v>4623</v>
      </c>
      <c r="O193" s="290" t="s">
        <v>4623</v>
      </c>
      <c r="P193" s="290" t="s">
        <v>999</v>
      </c>
      <c r="Q193" s="291" t="s">
        <v>4623</v>
      </c>
      <c r="R193" s="276"/>
      <c r="S193" s="277">
        <f>IF(OR(C193="",C193=T$4),NA(),MATCH($B193&amp;$C193,'Smelter Reference List'!$J:$J,0))</f>
        <v>222</v>
      </c>
      <c r="T193" s="278"/>
      <c r="U193" s="278"/>
      <c r="V193" s="278"/>
      <c r="W193" s="278"/>
    </row>
    <row r="194" spans="1:23" s="269" customFormat="1" ht="20.25">
      <c r="A194" s="267"/>
      <c r="B194" s="275" t="s">
        <v>2436</v>
      </c>
      <c r="C194" s="275" t="s">
        <v>3831</v>
      </c>
      <c r="D194" s="168" t="s">
        <v>4978</v>
      </c>
      <c r="E194" s="168" t="s">
        <v>2294</v>
      </c>
      <c r="F194" s="168" t="s">
        <v>4623</v>
      </c>
      <c r="G194" s="168" t="s">
        <v>4623</v>
      </c>
      <c r="H194" s="292" t="s">
        <v>4979</v>
      </c>
      <c r="I194" s="293" t="s">
        <v>4980</v>
      </c>
      <c r="J194" s="293" t="s">
        <v>4980</v>
      </c>
      <c r="K194" s="290" t="s">
        <v>4981</v>
      </c>
      <c r="L194" s="290" t="s">
        <v>4982</v>
      </c>
      <c r="M194" s="290" t="s">
        <v>4623</v>
      </c>
      <c r="N194" s="290" t="s">
        <v>4628</v>
      </c>
      <c r="O194" s="290" t="s">
        <v>4667</v>
      </c>
      <c r="P194" s="290" t="s">
        <v>999</v>
      </c>
      <c r="Q194" s="291" t="s">
        <v>4623</v>
      </c>
      <c r="R194" s="276"/>
      <c r="S194" s="277">
        <f>IF(OR(C194="",C194=T$4),NA(),MATCH($B194&amp;$C194,'Smelter Reference List'!$J:$J,0))</f>
        <v>222</v>
      </c>
      <c r="T194" s="278"/>
      <c r="U194" s="278"/>
      <c r="V194" s="278"/>
      <c r="W194" s="278"/>
    </row>
    <row r="195" spans="1:23" s="269" customFormat="1" ht="20.25">
      <c r="A195" s="267"/>
      <c r="B195" s="275" t="s">
        <v>2436</v>
      </c>
      <c r="C195" s="275" t="s">
        <v>3831</v>
      </c>
      <c r="D195" s="168" t="s">
        <v>4983</v>
      </c>
      <c r="E195" s="168" t="s">
        <v>2294</v>
      </c>
      <c r="F195" s="168" t="s">
        <v>4623</v>
      </c>
      <c r="G195" s="168" t="s">
        <v>4623</v>
      </c>
      <c r="H195" s="292" t="s">
        <v>4623</v>
      </c>
      <c r="I195" s="293" t="s">
        <v>4623</v>
      </c>
      <c r="J195" s="293" t="s">
        <v>4623</v>
      </c>
      <c r="K195" s="290" t="s">
        <v>4623</v>
      </c>
      <c r="L195" s="290" t="s">
        <v>4623</v>
      </c>
      <c r="M195" s="290" t="s">
        <v>4623</v>
      </c>
      <c r="N195" s="290" t="s">
        <v>4623</v>
      </c>
      <c r="O195" s="290" t="s">
        <v>4623</v>
      </c>
      <c r="P195" s="290" t="s">
        <v>999</v>
      </c>
      <c r="Q195" s="291" t="s">
        <v>4623</v>
      </c>
      <c r="R195" s="276"/>
      <c r="S195" s="277">
        <f>IF(OR(C195="",C195=T$4),NA(),MATCH($B195&amp;$C195,'Smelter Reference List'!$J:$J,0))</f>
        <v>222</v>
      </c>
      <c r="T195" s="278"/>
      <c r="U195" s="278"/>
      <c r="V195" s="278"/>
      <c r="W195" s="278"/>
    </row>
    <row r="196" spans="1:23" s="269" customFormat="1" ht="20.25">
      <c r="A196" s="267"/>
      <c r="B196" s="275" t="s">
        <v>2436</v>
      </c>
      <c r="C196" s="275" t="s">
        <v>3831</v>
      </c>
      <c r="D196" s="168" t="s">
        <v>4984</v>
      </c>
      <c r="E196" s="168" t="s">
        <v>2294</v>
      </c>
      <c r="F196" s="168" t="s">
        <v>4623</v>
      </c>
      <c r="G196" s="168" t="s">
        <v>4623</v>
      </c>
      <c r="H196" s="292" t="s">
        <v>4623</v>
      </c>
      <c r="I196" s="293" t="s">
        <v>4623</v>
      </c>
      <c r="J196" s="293" t="s">
        <v>4623</v>
      </c>
      <c r="K196" s="290" t="s">
        <v>4623</v>
      </c>
      <c r="L196" s="290" t="s">
        <v>4623</v>
      </c>
      <c r="M196" s="290" t="s">
        <v>4623</v>
      </c>
      <c r="N196" s="290" t="s">
        <v>4623</v>
      </c>
      <c r="O196" s="290" t="s">
        <v>4623</v>
      </c>
      <c r="P196" s="290" t="s">
        <v>999</v>
      </c>
      <c r="Q196" s="291" t="s">
        <v>4623</v>
      </c>
      <c r="R196" s="276"/>
      <c r="S196" s="277">
        <f>IF(OR(C196="",C196=T$4),NA(),MATCH($B196&amp;$C196,'Smelter Reference List'!$J:$J,0))</f>
        <v>222</v>
      </c>
      <c r="T196" s="278"/>
      <c r="U196" s="278"/>
      <c r="V196" s="278"/>
      <c r="W196" s="278"/>
    </row>
    <row r="197" spans="1:23" s="269" customFormat="1" ht="20.25">
      <c r="A197" s="267"/>
      <c r="B197" s="275" t="s">
        <v>2436</v>
      </c>
      <c r="C197" s="275" t="s">
        <v>3831</v>
      </c>
      <c r="D197" s="168" t="s">
        <v>4985</v>
      </c>
      <c r="E197" s="168" t="s">
        <v>2294</v>
      </c>
      <c r="F197" s="168" t="s">
        <v>4623</v>
      </c>
      <c r="G197" s="168" t="s">
        <v>4623</v>
      </c>
      <c r="H197" s="292" t="s">
        <v>4623</v>
      </c>
      <c r="I197" s="293" t="s">
        <v>4623</v>
      </c>
      <c r="J197" s="293" t="s">
        <v>4623</v>
      </c>
      <c r="K197" s="290" t="s">
        <v>4623</v>
      </c>
      <c r="L197" s="290" t="s">
        <v>4623</v>
      </c>
      <c r="M197" s="290" t="s">
        <v>4623</v>
      </c>
      <c r="N197" s="290" t="s">
        <v>4986</v>
      </c>
      <c r="O197" s="290" t="s">
        <v>4623</v>
      </c>
      <c r="P197" s="290" t="s">
        <v>999</v>
      </c>
      <c r="Q197" s="291" t="s">
        <v>4623</v>
      </c>
      <c r="R197" s="276"/>
      <c r="S197" s="277">
        <f>IF(OR(C197="",C197=T$4),NA(),MATCH($B197&amp;$C197,'Smelter Reference List'!$J:$J,0))</f>
        <v>222</v>
      </c>
      <c r="T197" s="278"/>
      <c r="U197" s="278"/>
      <c r="V197" s="278"/>
      <c r="W197" s="278"/>
    </row>
    <row r="198" spans="1:23" s="269" customFormat="1" ht="20.25">
      <c r="A198" s="267"/>
      <c r="B198" s="275" t="s">
        <v>2436</v>
      </c>
      <c r="C198" s="275" t="s">
        <v>3831</v>
      </c>
      <c r="D198" s="168" t="s">
        <v>4987</v>
      </c>
      <c r="E198" s="168" t="s">
        <v>2294</v>
      </c>
      <c r="F198" s="168" t="s">
        <v>4623</v>
      </c>
      <c r="G198" s="168" t="s">
        <v>4623</v>
      </c>
      <c r="H198" s="292" t="s">
        <v>4623</v>
      </c>
      <c r="I198" s="293" t="s">
        <v>4623</v>
      </c>
      <c r="J198" s="293" t="s">
        <v>4623</v>
      </c>
      <c r="K198" s="290" t="s">
        <v>4623</v>
      </c>
      <c r="L198" s="290" t="s">
        <v>4623</v>
      </c>
      <c r="M198" s="290" t="s">
        <v>4623</v>
      </c>
      <c r="N198" s="290" t="s">
        <v>4623</v>
      </c>
      <c r="O198" s="290" t="s">
        <v>4623</v>
      </c>
      <c r="P198" s="290" t="s">
        <v>999</v>
      </c>
      <c r="Q198" s="291" t="s">
        <v>4623</v>
      </c>
      <c r="R198" s="276"/>
      <c r="S198" s="277">
        <f>IF(OR(C198="",C198=T$4),NA(),MATCH($B198&amp;$C198,'Smelter Reference List'!$J:$J,0))</f>
        <v>222</v>
      </c>
      <c r="T198" s="278"/>
      <c r="U198" s="278"/>
      <c r="V198" s="278"/>
      <c r="W198" s="278"/>
    </row>
    <row r="199" spans="1:23" s="269" customFormat="1" ht="20.25">
      <c r="A199" s="267"/>
      <c r="B199" s="275" t="s">
        <v>2436</v>
      </c>
      <c r="C199" s="275" t="s">
        <v>3831</v>
      </c>
      <c r="D199" s="168" t="s">
        <v>2483</v>
      </c>
      <c r="E199" s="168" t="s">
        <v>2294</v>
      </c>
      <c r="F199" s="168" t="s">
        <v>4623</v>
      </c>
      <c r="G199" s="168" t="s">
        <v>4623</v>
      </c>
      <c r="H199" s="292" t="s">
        <v>4623</v>
      </c>
      <c r="I199" s="293" t="s">
        <v>4623</v>
      </c>
      <c r="J199" s="293" t="s">
        <v>4623</v>
      </c>
      <c r="K199" s="290" t="s">
        <v>4623</v>
      </c>
      <c r="L199" s="290" t="s">
        <v>4623</v>
      </c>
      <c r="M199" s="290" t="s">
        <v>4623</v>
      </c>
      <c r="N199" s="290" t="s">
        <v>4623</v>
      </c>
      <c r="O199" s="290" t="s">
        <v>4623</v>
      </c>
      <c r="P199" s="290" t="s">
        <v>999</v>
      </c>
      <c r="Q199" s="291" t="s">
        <v>4623</v>
      </c>
      <c r="R199" s="276"/>
      <c r="S199" s="277">
        <f>IF(OR(C199="",C199=T$4),NA(),MATCH($B199&amp;$C199,'Smelter Reference List'!$J:$J,0))</f>
        <v>222</v>
      </c>
      <c r="T199" s="278"/>
      <c r="U199" s="278"/>
      <c r="V199" s="278"/>
      <c r="W199" s="278"/>
    </row>
    <row r="200" spans="1:23" s="269" customFormat="1" ht="20.25">
      <c r="A200" s="267"/>
      <c r="B200" s="275" t="s">
        <v>2436</v>
      </c>
      <c r="C200" s="275" t="s">
        <v>3831</v>
      </c>
      <c r="D200" s="168" t="s">
        <v>4988</v>
      </c>
      <c r="E200" s="168" t="s">
        <v>2294</v>
      </c>
      <c r="F200" s="168" t="s">
        <v>4623</v>
      </c>
      <c r="G200" s="168" t="s">
        <v>4623</v>
      </c>
      <c r="H200" s="292" t="s">
        <v>4623</v>
      </c>
      <c r="I200" s="293" t="s">
        <v>4623</v>
      </c>
      <c r="J200" s="293" t="s">
        <v>4623</v>
      </c>
      <c r="K200" s="290" t="s">
        <v>4623</v>
      </c>
      <c r="L200" s="290" t="s">
        <v>4623</v>
      </c>
      <c r="M200" s="290" t="s">
        <v>4623</v>
      </c>
      <c r="N200" s="290" t="s">
        <v>4623</v>
      </c>
      <c r="O200" s="290" t="s">
        <v>4623</v>
      </c>
      <c r="P200" s="290" t="s">
        <v>999</v>
      </c>
      <c r="Q200" s="291" t="s">
        <v>4623</v>
      </c>
      <c r="R200" s="276"/>
      <c r="S200" s="277">
        <f>IF(OR(C200="",C200=T$4),NA(),MATCH($B200&amp;$C200,'Smelter Reference List'!$J:$J,0))</f>
        <v>222</v>
      </c>
      <c r="T200" s="278"/>
      <c r="U200" s="278"/>
      <c r="V200" s="278"/>
      <c r="W200" s="278"/>
    </row>
    <row r="201" spans="1:23" s="269" customFormat="1" ht="20.25">
      <c r="A201" s="267"/>
      <c r="B201" s="275" t="s">
        <v>2436</v>
      </c>
      <c r="C201" s="275" t="s">
        <v>3831</v>
      </c>
      <c r="D201" s="168" t="s">
        <v>4989</v>
      </c>
      <c r="E201" s="168" t="s">
        <v>2294</v>
      </c>
      <c r="F201" s="168" t="s">
        <v>4623</v>
      </c>
      <c r="G201" s="168" t="s">
        <v>4623</v>
      </c>
      <c r="H201" s="292" t="s">
        <v>4623</v>
      </c>
      <c r="I201" s="293" t="s">
        <v>4623</v>
      </c>
      <c r="J201" s="293" t="s">
        <v>4623</v>
      </c>
      <c r="K201" s="290" t="s">
        <v>4623</v>
      </c>
      <c r="L201" s="290" t="s">
        <v>4623</v>
      </c>
      <c r="M201" s="290" t="s">
        <v>4623</v>
      </c>
      <c r="N201" s="290" t="s">
        <v>4623</v>
      </c>
      <c r="O201" s="290" t="s">
        <v>4623</v>
      </c>
      <c r="P201" s="290" t="s">
        <v>999</v>
      </c>
      <c r="Q201" s="291" t="s">
        <v>4623</v>
      </c>
      <c r="R201" s="276"/>
      <c r="S201" s="277">
        <f>IF(OR(C201="",C201=T$4),NA(),MATCH($B201&amp;$C201,'Smelter Reference List'!$J:$J,0))</f>
        <v>222</v>
      </c>
      <c r="T201" s="278"/>
      <c r="U201" s="278"/>
      <c r="V201" s="278"/>
      <c r="W201" s="278"/>
    </row>
    <row r="202" spans="1:23" s="269" customFormat="1" ht="20.25">
      <c r="A202" s="267"/>
      <c r="B202" s="275" t="s">
        <v>2436</v>
      </c>
      <c r="C202" s="275" t="s">
        <v>3831</v>
      </c>
      <c r="D202" s="168" t="s">
        <v>4990</v>
      </c>
      <c r="E202" s="168" t="s">
        <v>2294</v>
      </c>
      <c r="F202" s="168" t="s">
        <v>4623</v>
      </c>
      <c r="G202" s="168" t="s">
        <v>4623</v>
      </c>
      <c r="H202" s="292" t="s">
        <v>4623</v>
      </c>
      <c r="I202" s="293" t="s">
        <v>4623</v>
      </c>
      <c r="J202" s="293" t="s">
        <v>4623</v>
      </c>
      <c r="K202" s="290" t="s">
        <v>4623</v>
      </c>
      <c r="L202" s="290" t="s">
        <v>4623</v>
      </c>
      <c r="M202" s="290" t="s">
        <v>4623</v>
      </c>
      <c r="N202" s="290" t="s">
        <v>4623</v>
      </c>
      <c r="O202" s="290" t="s">
        <v>4623</v>
      </c>
      <c r="P202" s="290" t="s">
        <v>999</v>
      </c>
      <c r="Q202" s="291" t="s">
        <v>4623</v>
      </c>
      <c r="R202" s="276"/>
      <c r="S202" s="277">
        <f>IF(OR(C202="",C202=T$4),NA(),MATCH($B202&amp;$C202,'Smelter Reference List'!$J:$J,0))</f>
        <v>222</v>
      </c>
      <c r="T202" s="278"/>
      <c r="U202" s="278"/>
      <c r="V202" s="278"/>
      <c r="W202" s="278"/>
    </row>
    <row r="203" spans="1:23" s="269" customFormat="1" ht="20.25">
      <c r="A203" s="267"/>
      <c r="B203" s="275" t="s">
        <v>2436</v>
      </c>
      <c r="C203" s="275" t="s">
        <v>3831</v>
      </c>
      <c r="D203" s="168" t="s">
        <v>4991</v>
      </c>
      <c r="E203" s="168" t="s">
        <v>2294</v>
      </c>
      <c r="F203" s="168" t="s">
        <v>4623</v>
      </c>
      <c r="G203" s="168" t="s">
        <v>4623</v>
      </c>
      <c r="H203" s="292" t="s">
        <v>4623</v>
      </c>
      <c r="I203" s="293" t="s">
        <v>4623</v>
      </c>
      <c r="J203" s="293" t="s">
        <v>4623</v>
      </c>
      <c r="K203" s="290" t="s">
        <v>4623</v>
      </c>
      <c r="L203" s="290" t="s">
        <v>4623</v>
      </c>
      <c r="M203" s="290" t="s">
        <v>4623</v>
      </c>
      <c r="N203" s="290" t="s">
        <v>4623</v>
      </c>
      <c r="O203" s="290" t="s">
        <v>4623</v>
      </c>
      <c r="P203" s="290" t="s">
        <v>999</v>
      </c>
      <c r="Q203" s="291" t="s">
        <v>4623</v>
      </c>
      <c r="R203" s="276"/>
      <c r="S203" s="277">
        <f>IF(OR(C203="",C203=T$4),NA(),MATCH($B203&amp;$C203,'Smelter Reference List'!$J:$J,0))</f>
        <v>222</v>
      </c>
      <c r="T203" s="278"/>
      <c r="U203" s="278"/>
      <c r="V203" s="278"/>
      <c r="W203" s="278"/>
    </row>
    <row r="204" spans="1:23" s="269" customFormat="1" ht="20.25">
      <c r="A204" s="267"/>
      <c r="B204" s="275" t="s">
        <v>2436</v>
      </c>
      <c r="C204" s="275" t="s">
        <v>3831</v>
      </c>
      <c r="D204" s="168" t="s">
        <v>4992</v>
      </c>
      <c r="E204" s="168" t="s">
        <v>2294</v>
      </c>
      <c r="F204" s="168" t="s">
        <v>4623</v>
      </c>
      <c r="G204" s="168" t="s">
        <v>4623</v>
      </c>
      <c r="H204" s="292" t="s">
        <v>4623</v>
      </c>
      <c r="I204" s="293" t="s">
        <v>4623</v>
      </c>
      <c r="J204" s="293" t="s">
        <v>4623</v>
      </c>
      <c r="K204" s="290" t="s">
        <v>4623</v>
      </c>
      <c r="L204" s="290" t="s">
        <v>4623</v>
      </c>
      <c r="M204" s="290" t="s">
        <v>4623</v>
      </c>
      <c r="N204" s="290" t="s">
        <v>4623</v>
      </c>
      <c r="O204" s="290" t="s">
        <v>4623</v>
      </c>
      <c r="P204" s="290" t="s">
        <v>999</v>
      </c>
      <c r="Q204" s="291" t="s">
        <v>4623</v>
      </c>
      <c r="R204" s="276"/>
      <c r="S204" s="277">
        <f>IF(OR(C204="",C204=T$4),NA(),MATCH($B204&amp;$C204,'Smelter Reference List'!$J:$J,0))</f>
        <v>222</v>
      </c>
      <c r="T204" s="278"/>
      <c r="U204" s="278"/>
      <c r="V204" s="278"/>
      <c r="W204" s="278"/>
    </row>
    <row r="205" spans="1:23" s="269" customFormat="1" ht="20.25">
      <c r="A205" s="267"/>
      <c r="B205" s="275" t="s">
        <v>2436</v>
      </c>
      <c r="C205" s="275" t="s">
        <v>3831</v>
      </c>
      <c r="D205" s="168" t="s">
        <v>4993</v>
      </c>
      <c r="E205" s="168" t="s">
        <v>2294</v>
      </c>
      <c r="F205" s="168" t="s">
        <v>4623</v>
      </c>
      <c r="G205" s="168" t="s">
        <v>4623</v>
      </c>
      <c r="H205" s="292" t="s">
        <v>4994</v>
      </c>
      <c r="I205" s="293" t="s">
        <v>3586</v>
      </c>
      <c r="J205" s="293" t="s">
        <v>4667</v>
      </c>
      <c r="K205" s="290" t="s">
        <v>4623</v>
      </c>
      <c r="L205" s="290" t="s">
        <v>4995</v>
      </c>
      <c r="M205" s="290" t="s">
        <v>4623</v>
      </c>
      <c r="N205" s="290" t="s">
        <v>4623</v>
      </c>
      <c r="O205" s="290" t="s">
        <v>4623</v>
      </c>
      <c r="P205" s="290" t="s">
        <v>999</v>
      </c>
      <c r="Q205" s="291" t="s">
        <v>4623</v>
      </c>
      <c r="R205" s="276"/>
      <c r="S205" s="277">
        <f>IF(OR(C205="",C205=T$4),NA(),MATCH($B205&amp;$C205,'Smelter Reference List'!$J:$J,0))</f>
        <v>222</v>
      </c>
      <c r="T205" s="278"/>
      <c r="U205" s="278"/>
      <c r="V205" s="278"/>
      <c r="W205" s="278"/>
    </row>
    <row r="206" spans="1:23" s="269" customFormat="1" ht="20.25">
      <c r="A206" s="267"/>
      <c r="B206" s="275" t="s">
        <v>2436</v>
      </c>
      <c r="C206" s="275" t="s">
        <v>3831</v>
      </c>
      <c r="D206" s="168" t="s">
        <v>4996</v>
      </c>
      <c r="E206" s="168" t="s">
        <v>2294</v>
      </c>
      <c r="F206" s="168" t="s">
        <v>4623</v>
      </c>
      <c r="G206" s="168" t="s">
        <v>4623</v>
      </c>
      <c r="H206" s="292" t="s">
        <v>4623</v>
      </c>
      <c r="I206" s="293" t="s">
        <v>4623</v>
      </c>
      <c r="J206" s="293" t="s">
        <v>4623</v>
      </c>
      <c r="K206" s="290" t="s">
        <v>4623</v>
      </c>
      <c r="L206" s="290" t="s">
        <v>4623</v>
      </c>
      <c r="M206" s="290" t="s">
        <v>4623</v>
      </c>
      <c r="N206" s="290" t="s">
        <v>4623</v>
      </c>
      <c r="O206" s="290" t="s">
        <v>4623</v>
      </c>
      <c r="P206" s="290" t="s">
        <v>999</v>
      </c>
      <c r="Q206" s="291" t="s">
        <v>4623</v>
      </c>
      <c r="R206" s="276"/>
      <c r="S206" s="277">
        <f>IF(OR(C206="",C206=T$4),NA(),MATCH($B206&amp;$C206,'Smelter Reference List'!$J:$J,0))</f>
        <v>222</v>
      </c>
      <c r="T206" s="278"/>
      <c r="U206" s="278"/>
      <c r="V206" s="278"/>
      <c r="W206" s="278"/>
    </row>
    <row r="207" spans="1:23" s="269" customFormat="1" ht="20.25">
      <c r="A207" s="267"/>
      <c r="B207" s="275" t="s">
        <v>2436</v>
      </c>
      <c r="C207" s="275" t="s">
        <v>3831</v>
      </c>
      <c r="D207" s="168" t="s">
        <v>1569</v>
      </c>
      <c r="E207" s="168" t="s">
        <v>2294</v>
      </c>
      <c r="F207" s="168" t="s">
        <v>4623</v>
      </c>
      <c r="G207" s="168" t="s">
        <v>4623</v>
      </c>
      <c r="H207" s="292" t="s">
        <v>4623</v>
      </c>
      <c r="I207" s="293" t="s">
        <v>4623</v>
      </c>
      <c r="J207" s="293" t="s">
        <v>4623</v>
      </c>
      <c r="K207" s="290" t="s">
        <v>4623</v>
      </c>
      <c r="L207" s="290" t="s">
        <v>4623</v>
      </c>
      <c r="M207" s="290" t="s">
        <v>4623</v>
      </c>
      <c r="N207" s="290" t="s">
        <v>4623</v>
      </c>
      <c r="O207" s="290" t="s">
        <v>4623</v>
      </c>
      <c r="P207" s="290" t="s">
        <v>999</v>
      </c>
      <c r="Q207" s="291" t="s">
        <v>4623</v>
      </c>
      <c r="R207" s="276"/>
      <c r="S207" s="277">
        <f>IF(OR(C207="",C207=T$4),NA(),MATCH($B207&amp;$C207,'Smelter Reference List'!$J:$J,0))</f>
        <v>222</v>
      </c>
      <c r="T207" s="278"/>
      <c r="U207" s="278"/>
      <c r="V207" s="278"/>
      <c r="W207" s="278"/>
    </row>
    <row r="208" spans="1:23" s="269" customFormat="1" ht="20.25">
      <c r="A208" s="267"/>
      <c r="B208" s="275" t="s">
        <v>2436</v>
      </c>
      <c r="C208" s="275" t="s">
        <v>3831</v>
      </c>
      <c r="D208" s="168" t="s">
        <v>4997</v>
      </c>
      <c r="E208" s="168" t="s">
        <v>2294</v>
      </c>
      <c r="F208" s="168" t="s">
        <v>4623</v>
      </c>
      <c r="G208" s="168" t="s">
        <v>4623</v>
      </c>
      <c r="H208" s="292" t="s">
        <v>4998</v>
      </c>
      <c r="I208" s="293" t="s">
        <v>4999</v>
      </c>
      <c r="J208" s="293" t="s">
        <v>3542</v>
      </c>
      <c r="K208" s="290" t="s">
        <v>4623</v>
      </c>
      <c r="L208" s="290" t="s">
        <v>5000</v>
      </c>
      <c r="M208" s="290" t="s">
        <v>5001</v>
      </c>
      <c r="N208" s="290" t="s">
        <v>5002</v>
      </c>
      <c r="O208" s="290" t="s">
        <v>4667</v>
      </c>
      <c r="P208" s="290" t="s">
        <v>999</v>
      </c>
      <c r="Q208" s="291" t="s">
        <v>4623</v>
      </c>
      <c r="R208" s="276"/>
      <c r="S208" s="277">
        <f>IF(OR(C208="",C208=T$4),NA(),MATCH($B208&amp;$C208,'Smelter Reference List'!$J:$J,0))</f>
        <v>222</v>
      </c>
      <c r="T208" s="278"/>
      <c r="U208" s="278"/>
      <c r="V208" s="278"/>
      <c r="W208" s="278"/>
    </row>
    <row r="209" spans="1:23" s="269" customFormat="1" ht="20.25">
      <c r="A209" s="267"/>
      <c r="B209" s="275" t="s">
        <v>2436</v>
      </c>
      <c r="C209" s="275" t="s">
        <v>3831</v>
      </c>
      <c r="D209" s="168" t="s">
        <v>5003</v>
      </c>
      <c r="E209" s="168" t="s">
        <v>2294</v>
      </c>
      <c r="F209" s="168" t="s">
        <v>4623</v>
      </c>
      <c r="G209" s="168" t="s">
        <v>4623</v>
      </c>
      <c r="H209" s="292" t="s">
        <v>4623</v>
      </c>
      <c r="I209" s="293" t="s">
        <v>4623</v>
      </c>
      <c r="J209" s="293" t="s">
        <v>4623</v>
      </c>
      <c r="K209" s="290" t="s">
        <v>4623</v>
      </c>
      <c r="L209" s="290" t="s">
        <v>4623</v>
      </c>
      <c r="M209" s="290" t="s">
        <v>4623</v>
      </c>
      <c r="N209" s="290" t="s">
        <v>4623</v>
      </c>
      <c r="O209" s="290" t="s">
        <v>4623</v>
      </c>
      <c r="P209" s="290" t="s">
        <v>999</v>
      </c>
      <c r="Q209" s="291" t="s">
        <v>4623</v>
      </c>
      <c r="R209" s="276"/>
      <c r="S209" s="277">
        <f>IF(OR(C209="",C209=T$4),NA(),MATCH($B209&amp;$C209,'Smelter Reference List'!$J:$J,0))</f>
        <v>222</v>
      </c>
      <c r="T209" s="278"/>
      <c r="U209" s="278"/>
      <c r="V209" s="278"/>
      <c r="W209" s="278"/>
    </row>
    <row r="210" spans="1:23" s="269" customFormat="1" ht="20.25">
      <c r="A210" s="267"/>
      <c r="B210" s="275" t="s">
        <v>2436</v>
      </c>
      <c r="C210" s="275" t="s">
        <v>3831</v>
      </c>
      <c r="D210" s="168" t="s">
        <v>5004</v>
      </c>
      <c r="E210" s="168" t="s">
        <v>2294</v>
      </c>
      <c r="F210" s="168" t="s">
        <v>4623</v>
      </c>
      <c r="G210" s="168" t="s">
        <v>4623</v>
      </c>
      <c r="H210" s="292" t="s">
        <v>4623</v>
      </c>
      <c r="I210" s="293" t="s">
        <v>4623</v>
      </c>
      <c r="J210" s="293" t="s">
        <v>4623</v>
      </c>
      <c r="K210" s="290" t="s">
        <v>4623</v>
      </c>
      <c r="L210" s="290" t="s">
        <v>4623</v>
      </c>
      <c r="M210" s="290" t="s">
        <v>4623</v>
      </c>
      <c r="N210" s="290" t="s">
        <v>4623</v>
      </c>
      <c r="O210" s="290" t="s">
        <v>4623</v>
      </c>
      <c r="P210" s="290" t="s">
        <v>999</v>
      </c>
      <c r="Q210" s="291" t="s">
        <v>4623</v>
      </c>
      <c r="R210" s="276"/>
      <c r="S210" s="277">
        <f>IF(OR(C210="",C210=T$4),NA(),MATCH($B210&amp;$C210,'Smelter Reference List'!$J:$J,0))</f>
        <v>222</v>
      </c>
      <c r="T210" s="278"/>
      <c r="U210" s="278"/>
      <c r="V210" s="278"/>
      <c r="W210" s="278"/>
    </row>
    <row r="211" spans="1:23" s="269" customFormat="1" ht="20.25">
      <c r="A211" s="267"/>
      <c r="B211" s="275" t="s">
        <v>2436</v>
      </c>
      <c r="C211" s="275" t="s">
        <v>3831</v>
      </c>
      <c r="D211" s="168" t="s">
        <v>5005</v>
      </c>
      <c r="E211" s="168" t="s">
        <v>2294</v>
      </c>
      <c r="F211" s="168" t="s">
        <v>4623</v>
      </c>
      <c r="G211" s="168" t="s">
        <v>4623</v>
      </c>
      <c r="H211" s="292" t="s">
        <v>5006</v>
      </c>
      <c r="I211" s="293" t="s">
        <v>3687</v>
      </c>
      <c r="J211" s="293" t="s">
        <v>5007</v>
      </c>
      <c r="K211" s="290" t="s">
        <v>4623</v>
      </c>
      <c r="L211" s="290" t="s">
        <v>5008</v>
      </c>
      <c r="M211" s="290" t="s">
        <v>4769</v>
      </c>
      <c r="N211" s="290" t="s">
        <v>5009</v>
      </c>
      <c r="O211" s="290" t="s">
        <v>4667</v>
      </c>
      <c r="P211" s="290" t="s">
        <v>999</v>
      </c>
      <c r="Q211" s="291" t="s">
        <v>4623</v>
      </c>
      <c r="R211" s="276"/>
      <c r="S211" s="277">
        <f>IF(OR(C211="",C211=T$4),NA(),MATCH($B211&amp;$C211,'Smelter Reference List'!$J:$J,0))</f>
        <v>222</v>
      </c>
      <c r="T211" s="278"/>
      <c r="U211" s="278"/>
      <c r="V211" s="278"/>
      <c r="W211" s="278"/>
    </row>
    <row r="212" spans="1:23" s="269" customFormat="1" ht="20.25">
      <c r="A212" s="267"/>
      <c r="B212" s="275" t="s">
        <v>2436</v>
      </c>
      <c r="C212" s="275" t="s">
        <v>3831</v>
      </c>
      <c r="D212" s="168" t="s">
        <v>5010</v>
      </c>
      <c r="E212" s="168" t="s">
        <v>2294</v>
      </c>
      <c r="F212" s="168" t="s">
        <v>4623</v>
      </c>
      <c r="G212" s="168" t="s">
        <v>4623</v>
      </c>
      <c r="H212" s="292" t="s">
        <v>5011</v>
      </c>
      <c r="I212" s="293" t="s">
        <v>4623</v>
      </c>
      <c r="J212" s="293" t="s">
        <v>4623</v>
      </c>
      <c r="K212" s="290" t="s">
        <v>4623</v>
      </c>
      <c r="L212" s="290" t="s">
        <v>5012</v>
      </c>
      <c r="M212" s="290" t="s">
        <v>4623</v>
      </c>
      <c r="N212" s="290" t="s">
        <v>4623</v>
      </c>
      <c r="O212" s="290" t="s">
        <v>4667</v>
      </c>
      <c r="P212" s="290" t="s">
        <v>999</v>
      </c>
      <c r="Q212" s="291" t="s">
        <v>4623</v>
      </c>
      <c r="R212" s="276"/>
      <c r="S212" s="277">
        <f>IF(OR(C212="",C212=T$4),NA(),MATCH($B212&amp;$C212,'Smelter Reference List'!$J:$J,0))</f>
        <v>222</v>
      </c>
      <c r="T212" s="278"/>
      <c r="U212" s="278"/>
      <c r="V212" s="278"/>
      <c r="W212" s="278"/>
    </row>
    <row r="213" spans="1:23" s="269" customFormat="1" ht="20.25">
      <c r="A213" s="267"/>
      <c r="B213" s="275" t="s">
        <v>2436</v>
      </c>
      <c r="C213" s="275" t="s">
        <v>3831</v>
      </c>
      <c r="D213" s="168" t="s">
        <v>5013</v>
      </c>
      <c r="E213" s="168" t="s">
        <v>2294</v>
      </c>
      <c r="F213" s="168" t="s">
        <v>4623</v>
      </c>
      <c r="G213" s="168" t="s">
        <v>4623</v>
      </c>
      <c r="H213" s="292" t="s">
        <v>5014</v>
      </c>
      <c r="I213" s="293" t="s">
        <v>5015</v>
      </c>
      <c r="J213" s="293" t="s">
        <v>3408</v>
      </c>
      <c r="K213" s="290" t="s">
        <v>4623</v>
      </c>
      <c r="L213" s="290" t="s">
        <v>4623</v>
      </c>
      <c r="M213" s="290" t="s">
        <v>5016</v>
      </c>
      <c r="N213" s="290" t="s">
        <v>4623</v>
      </c>
      <c r="O213" s="290" t="s">
        <v>4623</v>
      </c>
      <c r="P213" s="290" t="s">
        <v>999</v>
      </c>
      <c r="Q213" s="291" t="s">
        <v>4623</v>
      </c>
      <c r="R213" s="276"/>
      <c r="S213" s="277">
        <f>IF(OR(C213="",C213=T$4),NA(),MATCH($B213&amp;$C213,'Smelter Reference List'!$J:$J,0))</f>
        <v>222</v>
      </c>
      <c r="T213" s="278"/>
      <c r="U213" s="278"/>
      <c r="V213" s="278"/>
      <c r="W213" s="278"/>
    </row>
    <row r="214" spans="1:23" s="269" customFormat="1" ht="20.25">
      <c r="A214" s="267"/>
      <c r="B214" s="275" t="s">
        <v>2436</v>
      </c>
      <c r="C214" s="275" t="s">
        <v>3831</v>
      </c>
      <c r="D214" s="168" t="s">
        <v>5017</v>
      </c>
      <c r="E214" s="168" t="s">
        <v>2294</v>
      </c>
      <c r="F214" s="168" t="s">
        <v>4623</v>
      </c>
      <c r="G214" s="168" t="s">
        <v>4623</v>
      </c>
      <c r="H214" s="292" t="s">
        <v>4623</v>
      </c>
      <c r="I214" s="293" t="s">
        <v>4623</v>
      </c>
      <c r="J214" s="293" t="s">
        <v>4623</v>
      </c>
      <c r="K214" s="290" t="s">
        <v>4623</v>
      </c>
      <c r="L214" s="290" t="s">
        <v>4623</v>
      </c>
      <c r="M214" s="290" t="s">
        <v>4623</v>
      </c>
      <c r="N214" s="290" t="s">
        <v>4623</v>
      </c>
      <c r="O214" s="290" t="s">
        <v>4623</v>
      </c>
      <c r="P214" s="290" t="s">
        <v>999</v>
      </c>
      <c r="Q214" s="291" t="s">
        <v>4623</v>
      </c>
      <c r="R214" s="276"/>
      <c r="S214" s="277">
        <f>IF(OR(C214="",C214=T$4),NA(),MATCH($B214&amp;$C214,'Smelter Reference List'!$J:$J,0))</f>
        <v>222</v>
      </c>
      <c r="T214" s="278"/>
      <c r="U214" s="278"/>
      <c r="V214" s="278"/>
      <c r="W214" s="278"/>
    </row>
    <row r="215" spans="1:23" s="269" customFormat="1" ht="20.25">
      <c r="A215" s="267"/>
      <c r="B215" s="275" t="s">
        <v>2436</v>
      </c>
      <c r="C215" s="275" t="s">
        <v>3831</v>
      </c>
      <c r="D215" s="168" t="s">
        <v>772</v>
      </c>
      <c r="E215" s="168" t="s">
        <v>2294</v>
      </c>
      <c r="F215" s="168" t="s">
        <v>4623</v>
      </c>
      <c r="G215" s="168" t="s">
        <v>4623</v>
      </c>
      <c r="H215" s="292" t="s">
        <v>5018</v>
      </c>
      <c r="I215" s="293" t="s">
        <v>5015</v>
      </c>
      <c r="J215" s="293" t="s">
        <v>3408</v>
      </c>
      <c r="K215" s="290" t="s">
        <v>4623</v>
      </c>
      <c r="L215" s="290" t="s">
        <v>5019</v>
      </c>
      <c r="M215" s="290" t="s">
        <v>4623</v>
      </c>
      <c r="N215" s="290" t="s">
        <v>4628</v>
      </c>
      <c r="O215" s="290" t="s">
        <v>4628</v>
      </c>
      <c r="P215" s="290" t="s">
        <v>999</v>
      </c>
      <c r="Q215" s="291" t="s">
        <v>4623</v>
      </c>
      <c r="R215" s="276"/>
      <c r="S215" s="277">
        <f>IF(OR(C215="",C215=T$4),NA(),MATCH($B215&amp;$C215,'Smelter Reference List'!$J:$J,0))</f>
        <v>222</v>
      </c>
      <c r="T215" s="278"/>
      <c r="U215" s="278"/>
      <c r="V215" s="278"/>
      <c r="W215" s="278"/>
    </row>
    <row r="216" spans="1:23" s="269" customFormat="1" ht="20.25">
      <c r="A216" s="267"/>
      <c r="B216" s="275" t="s">
        <v>2436</v>
      </c>
      <c r="C216" s="275" t="s">
        <v>3831</v>
      </c>
      <c r="D216" s="168" t="s">
        <v>5020</v>
      </c>
      <c r="E216" s="168" t="s">
        <v>2294</v>
      </c>
      <c r="F216" s="168" t="s">
        <v>4623</v>
      </c>
      <c r="G216" s="168" t="s">
        <v>4623</v>
      </c>
      <c r="H216" s="292" t="s">
        <v>5021</v>
      </c>
      <c r="I216" s="293" t="s">
        <v>3685</v>
      </c>
      <c r="J216" s="293" t="s">
        <v>3364</v>
      </c>
      <c r="K216" s="290" t="s">
        <v>4623</v>
      </c>
      <c r="L216" s="290" t="s">
        <v>5022</v>
      </c>
      <c r="M216" s="290" t="s">
        <v>4623</v>
      </c>
      <c r="N216" s="290" t="s">
        <v>4623</v>
      </c>
      <c r="O216" s="290" t="s">
        <v>4868</v>
      </c>
      <c r="P216" s="290" t="s">
        <v>999</v>
      </c>
      <c r="Q216" s="291" t="s">
        <v>4623</v>
      </c>
      <c r="R216" s="276"/>
      <c r="S216" s="277">
        <f>IF(OR(C216="",C216=T$4),NA(),MATCH($B216&amp;$C216,'Smelter Reference List'!$J:$J,0))</f>
        <v>222</v>
      </c>
      <c r="T216" s="278"/>
      <c r="U216" s="278"/>
      <c r="V216" s="278"/>
      <c r="W216" s="278"/>
    </row>
    <row r="217" spans="1:23" s="269" customFormat="1" ht="20.25">
      <c r="A217" s="267"/>
      <c r="B217" s="275" t="s">
        <v>2436</v>
      </c>
      <c r="C217" s="275" t="s">
        <v>3831</v>
      </c>
      <c r="D217" s="168" t="s">
        <v>5023</v>
      </c>
      <c r="E217" s="168" t="s">
        <v>2294</v>
      </c>
      <c r="F217" s="168" t="s">
        <v>4623</v>
      </c>
      <c r="G217" s="168" t="s">
        <v>4623</v>
      </c>
      <c r="H217" s="292" t="s">
        <v>5024</v>
      </c>
      <c r="I217" s="293" t="s">
        <v>5025</v>
      </c>
      <c r="J217" s="293" t="s">
        <v>3364</v>
      </c>
      <c r="K217" s="290" t="s">
        <v>4623</v>
      </c>
      <c r="L217" s="290" t="s">
        <v>4623</v>
      </c>
      <c r="M217" s="290" t="s">
        <v>4623</v>
      </c>
      <c r="N217" s="290" t="s">
        <v>4623</v>
      </c>
      <c r="O217" s="290" t="s">
        <v>4623</v>
      </c>
      <c r="P217" s="290" t="s">
        <v>999</v>
      </c>
      <c r="Q217" s="291" t="s">
        <v>4623</v>
      </c>
      <c r="R217" s="276"/>
      <c r="S217" s="277">
        <f>IF(OR(C217="",C217=T$4),NA(),MATCH($B217&amp;$C217,'Smelter Reference List'!$J:$J,0))</f>
        <v>222</v>
      </c>
      <c r="T217" s="278"/>
      <c r="U217" s="278"/>
      <c r="V217" s="278"/>
      <c r="W217" s="278"/>
    </row>
    <row r="218" spans="1:23" s="269" customFormat="1" ht="20.25">
      <c r="A218" s="267"/>
      <c r="B218" s="275" t="s">
        <v>2436</v>
      </c>
      <c r="C218" s="275" t="s">
        <v>3831</v>
      </c>
      <c r="D218" s="168" t="s">
        <v>5026</v>
      </c>
      <c r="E218" s="168" t="s">
        <v>2294</v>
      </c>
      <c r="F218" s="168" t="s">
        <v>4623</v>
      </c>
      <c r="G218" s="168" t="s">
        <v>4623</v>
      </c>
      <c r="H218" s="292" t="s">
        <v>5027</v>
      </c>
      <c r="I218" s="293" t="s">
        <v>5028</v>
      </c>
      <c r="J218" s="293" t="s">
        <v>3364</v>
      </c>
      <c r="K218" s="290" t="s">
        <v>5029</v>
      </c>
      <c r="L218" s="290" t="s">
        <v>4623</v>
      </c>
      <c r="M218" s="290" t="s">
        <v>4623</v>
      </c>
      <c r="N218" s="290" t="s">
        <v>4623</v>
      </c>
      <c r="O218" s="290" t="s">
        <v>4623</v>
      </c>
      <c r="P218" s="290" t="s">
        <v>999</v>
      </c>
      <c r="Q218" s="291" t="s">
        <v>4623</v>
      </c>
      <c r="R218" s="276"/>
      <c r="S218" s="277">
        <f>IF(OR(C218="",C218=T$4),NA(),MATCH($B218&amp;$C218,'Smelter Reference List'!$J:$J,0))</f>
        <v>222</v>
      </c>
      <c r="T218" s="278"/>
      <c r="U218" s="278"/>
      <c r="V218" s="278"/>
      <c r="W218" s="278"/>
    </row>
    <row r="219" spans="1:23" s="269" customFormat="1" ht="20.25">
      <c r="A219" s="267"/>
      <c r="B219" s="275" t="s">
        <v>2436</v>
      </c>
      <c r="C219" s="275" t="s">
        <v>3831</v>
      </c>
      <c r="D219" s="168" t="s">
        <v>5030</v>
      </c>
      <c r="E219" s="168" t="s">
        <v>2294</v>
      </c>
      <c r="F219" s="168" t="s">
        <v>4623</v>
      </c>
      <c r="G219" s="168" t="s">
        <v>4623</v>
      </c>
      <c r="H219" s="292" t="s">
        <v>5031</v>
      </c>
      <c r="I219" s="293" t="s">
        <v>5032</v>
      </c>
      <c r="J219" s="293" t="s">
        <v>3656</v>
      </c>
      <c r="K219" s="290" t="s">
        <v>4623</v>
      </c>
      <c r="L219" s="290" t="s">
        <v>5033</v>
      </c>
      <c r="M219" s="290" t="s">
        <v>4623</v>
      </c>
      <c r="N219" s="290" t="s">
        <v>4623</v>
      </c>
      <c r="O219" s="290" t="s">
        <v>4623</v>
      </c>
      <c r="P219" s="290" t="s">
        <v>999</v>
      </c>
      <c r="Q219" s="291" t="s">
        <v>4623</v>
      </c>
      <c r="R219" s="276"/>
      <c r="S219" s="277">
        <f>IF(OR(C219="",C219=T$4),NA(),MATCH($B219&amp;$C219,'Smelter Reference List'!$J:$J,0))</f>
        <v>222</v>
      </c>
      <c r="T219" s="278"/>
      <c r="U219" s="278"/>
      <c r="V219" s="278"/>
      <c r="W219" s="278"/>
    </row>
    <row r="220" spans="1:23" s="269" customFormat="1" ht="20.25">
      <c r="A220" s="267"/>
      <c r="B220" s="275" t="s">
        <v>2436</v>
      </c>
      <c r="C220" s="275" t="s">
        <v>3831</v>
      </c>
      <c r="D220" s="168" t="s">
        <v>5034</v>
      </c>
      <c r="E220" s="168" t="s">
        <v>2294</v>
      </c>
      <c r="F220" s="168" t="s">
        <v>4623</v>
      </c>
      <c r="G220" s="168" t="s">
        <v>4623</v>
      </c>
      <c r="H220" s="292" t="s">
        <v>4623</v>
      </c>
      <c r="I220" s="293" t="s">
        <v>4623</v>
      </c>
      <c r="J220" s="293" t="s">
        <v>4623</v>
      </c>
      <c r="K220" s="290" t="s">
        <v>4623</v>
      </c>
      <c r="L220" s="290" t="s">
        <v>4623</v>
      </c>
      <c r="M220" s="290" t="s">
        <v>4623</v>
      </c>
      <c r="N220" s="290" t="s">
        <v>4623</v>
      </c>
      <c r="O220" s="290" t="s">
        <v>4623</v>
      </c>
      <c r="P220" s="290" t="s">
        <v>999</v>
      </c>
      <c r="Q220" s="291" t="s">
        <v>4623</v>
      </c>
      <c r="R220" s="276"/>
      <c r="S220" s="277">
        <f>IF(OR(C220="",C220=T$4),NA(),MATCH($B220&amp;$C220,'Smelter Reference List'!$J:$J,0))</f>
        <v>222</v>
      </c>
      <c r="T220" s="278"/>
      <c r="U220" s="278"/>
      <c r="V220" s="278"/>
      <c r="W220" s="278"/>
    </row>
    <row r="221" spans="1:23" s="269" customFormat="1" ht="20.25">
      <c r="A221" s="267"/>
      <c r="B221" s="275" t="s">
        <v>2436</v>
      </c>
      <c r="C221" s="275" t="s">
        <v>3831</v>
      </c>
      <c r="D221" s="168" t="s">
        <v>5035</v>
      </c>
      <c r="E221" s="168" t="s">
        <v>2294</v>
      </c>
      <c r="F221" s="168" t="s">
        <v>4623</v>
      </c>
      <c r="G221" s="168" t="s">
        <v>4623</v>
      </c>
      <c r="H221" s="292" t="s">
        <v>4623</v>
      </c>
      <c r="I221" s="293" t="s">
        <v>4623</v>
      </c>
      <c r="J221" s="293" t="s">
        <v>4623</v>
      </c>
      <c r="K221" s="290" t="s">
        <v>4623</v>
      </c>
      <c r="L221" s="290" t="s">
        <v>4623</v>
      </c>
      <c r="M221" s="290" t="s">
        <v>4623</v>
      </c>
      <c r="N221" s="290" t="s">
        <v>4623</v>
      </c>
      <c r="O221" s="290" t="s">
        <v>4623</v>
      </c>
      <c r="P221" s="290" t="s">
        <v>999</v>
      </c>
      <c r="Q221" s="291" t="s">
        <v>4623</v>
      </c>
      <c r="R221" s="276"/>
      <c r="S221" s="277">
        <f>IF(OR(C221="",C221=T$4),NA(),MATCH($B221&amp;$C221,'Smelter Reference List'!$J:$J,0))</f>
        <v>222</v>
      </c>
      <c r="T221" s="278"/>
      <c r="U221" s="278"/>
      <c r="V221" s="278"/>
      <c r="W221" s="278"/>
    </row>
    <row r="222" spans="1:23" s="269" customFormat="1" ht="20.25">
      <c r="A222" s="267"/>
      <c r="B222" s="275" t="s">
        <v>2436</v>
      </c>
      <c r="C222" s="275" t="s">
        <v>3831</v>
      </c>
      <c r="D222" s="168" t="s">
        <v>5036</v>
      </c>
      <c r="E222" s="168" t="s">
        <v>2294</v>
      </c>
      <c r="F222" s="168" t="s">
        <v>4623</v>
      </c>
      <c r="G222" s="168" t="s">
        <v>4623</v>
      </c>
      <c r="H222" s="292" t="s">
        <v>4623</v>
      </c>
      <c r="I222" s="293" t="s">
        <v>4623</v>
      </c>
      <c r="J222" s="293" t="s">
        <v>4623</v>
      </c>
      <c r="K222" s="290" t="s">
        <v>4623</v>
      </c>
      <c r="L222" s="290" t="s">
        <v>4623</v>
      </c>
      <c r="M222" s="290" t="s">
        <v>4623</v>
      </c>
      <c r="N222" s="290" t="s">
        <v>4623</v>
      </c>
      <c r="O222" s="290" t="s">
        <v>4623</v>
      </c>
      <c r="P222" s="290" t="s">
        <v>999</v>
      </c>
      <c r="Q222" s="291" t="s">
        <v>4623</v>
      </c>
      <c r="R222" s="276"/>
      <c r="S222" s="277">
        <f>IF(OR(C222="",C222=T$4),NA(),MATCH($B222&amp;$C222,'Smelter Reference List'!$J:$J,0))</f>
        <v>222</v>
      </c>
      <c r="T222" s="278"/>
      <c r="U222" s="278"/>
      <c r="V222" s="278"/>
      <c r="W222" s="278"/>
    </row>
    <row r="223" spans="1:23" s="269" customFormat="1" ht="20.25">
      <c r="A223" s="267"/>
      <c r="B223" s="275" t="s">
        <v>2436</v>
      </c>
      <c r="C223" s="275" t="s">
        <v>3831</v>
      </c>
      <c r="D223" s="168" t="s">
        <v>5037</v>
      </c>
      <c r="E223" s="168" t="s">
        <v>2294</v>
      </c>
      <c r="F223" s="168" t="s">
        <v>4623</v>
      </c>
      <c r="G223" s="168" t="s">
        <v>4623</v>
      </c>
      <c r="H223" s="292" t="s">
        <v>4623</v>
      </c>
      <c r="I223" s="293" t="s">
        <v>4623</v>
      </c>
      <c r="J223" s="293" t="s">
        <v>4623</v>
      </c>
      <c r="K223" s="290" t="s">
        <v>4623</v>
      </c>
      <c r="L223" s="290" t="s">
        <v>4623</v>
      </c>
      <c r="M223" s="290" t="s">
        <v>4623</v>
      </c>
      <c r="N223" s="290" t="s">
        <v>4623</v>
      </c>
      <c r="O223" s="290" t="s">
        <v>4623</v>
      </c>
      <c r="P223" s="290" t="s">
        <v>999</v>
      </c>
      <c r="Q223" s="291" t="s">
        <v>4623</v>
      </c>
      <c r="R223" s="276"/>
      <c r="S223" s="277">
        <f>IF(OR(C223="",C223=T$4),NA(),MATCH($B223&amp;$C223,'Smelter Reference List'!$J:$J,0))</f>
        <v>222</v>
      </c>
      <c r="T223" s="278"/>
      <c r="U223" s="278"/>
      <c r="V223" s="278"/>
      <c r="W223" s="278"/>
    </row>
    <row r="224" spans="1:23" s="269" customFormat="1" ht="20.25">
      <c r="A224" s="267"/>
      <c r="B224" s="275" t="s">
        <v>2436</v>
      </c>
      <c r="C224" s="275" t="s">
        <v>3831</v>
      </c>
      <c r="D224" s="168" t="s">
        <v>5038</v>
      </c>
      <c r="E224" s="168" t="s">
        <v>2294</v>
      </c>
      <c r="F224" s="168" t="s">
        <v>4623</v>
      </c>
      <c r="G224" s="168" t="s">
        <v>4623</v>
      </c>
      <c r="H224" s="292" t="s">
        <v>4623</v>
      </c>
      <c r="I224" s="293" t="s">
        <v>4623</v>
      </c>
      <c r="J224" s="293" t="s">
        <v>4623</v>
      </c>
      <c r="K224" s="290" t="s">
        <v>4623</v>
      </c>
      <c r="L224" s="290" t="s">
        <v>4623</v>
      </c>
      <c r="M224" s="290" t="s">
        <v>4623</v>
      </c>
      <c r="N224" s="290" t="s">
        <v>4623</v>
      </c>
      <c r="O224" s="290" t="s">
        <v>4623</v>
      </c>
      <c r="P224" s="290" t="s">
        <v>999</v>
      </c>
      <c r="Q224" s="291" t="s">
        <v>4623</v>
      </c>
      <c r="R224" s="276"/>
      <c r="S224" s="277">
        <f>IF(OR(C224="",C224=T$4),NA(),MATCH($B224&amp;$C224,'Smelter Reference List'!$J:$J,0))</f>
        <v>222</v>
      </c>
      <c r="T224" s="278"/>
      <c r="U224" s="278"/>
      <c r="V224" s="278"/>
      <c r="W224" s="278"/>
    </row>
    <row r="225" spans="1:23" s="269" customFormat="1" ht="20.25">
      <c r="A225" s="267"/>
      <c r="B225" s="275" t="s">
        <v>2436</v>
      </c>
      <c r="C225" s="275" t="s">
        <v>3831</v>
      </c>
      <c r="D225" s="168" t="s">
        <v>5039</v>
      </c>
      <c r="E225" s="168" t="s">
        <v>2294</v>
      </c>
      <c r="F225" s="168" t="s">
        <v>4623</v>
      </c>
      <c r="G225" s="168" t="s">
        <v>4623</v>
      </c>
      <c r="H225" s="292" t="s">
        <v>4623</v>
      </c>
      <c r="I225" s="293" t="s">
        <v>4623</v>
      </c>
      <c r="J225" s="293" t="s">
        <v>4623</v>
      </c>
      <c r="K225" s="290" t="s">
        <v>4623</v>
      </c>
      <c r="L225" s="290" t="s">
        <v>4623</v>
      </c>
      <c r="M225" s="290" t="s">
        <v>4623</v>
      </c>
      <c r="N225" s="290" t="s">
        <v>4623</v>
      </c>
      <c r="O225" s="290" t="s">
        <v>4623</v>
      </c>
      <c r="P225" s="290" t="s">
        <v>999</v>
      </c>
      <c r="Q225" s="291" t="s">
        <v>4623</v>
      </c>
      <c r="R225" s="276"/>
      <c r="S225" s="277">
        <f>IF(OR(C225="",C225=T$4),NA(),MATCH($B225&amp;$C225,'Smelter Reference List'!$J:$J,0))</f>
        <v>222</v>
      </c>
      <c r="T225" s="278"/>
      <c r="U225" s="278"/>
      <c r="V225" s="278"/>
      <c r="W225" s="278"/>
    </row>
    <row r="226" spans="1:23" s="269" customFormat="1" ht="20.25">
      <c r="A226" s="267"/>
      <c r="B226" s="275" t="s">
        <v>2436</v>
      </c>
      <c r="C226" s="275" t="s">
        <v>3831</v>
      </c>
      <c r="D226" s="168" t="s">
        <v>5040</v>
      </c>
      <c r="E226" s="168" t="s">
        <v>2294</v>
      </c>
      <c r="F226" s="168" t="s">
        <v>4623</v>
      </c>
      <c r="G226" s="168" t="s">
        <v>4623</v>
      </c>
      <c r="H226" s="292" t="s">
        <v>4623</v>
      </c>
      <c r="I226" s="293" t="s">
        <v>4623</v>
      </c>
      <c r="J226" s="293" t="s">
        <v>4623</v>
      </c>
      <c r="K226" s="290" t="s">
        <v>4623</v>
      </c>
      <c r="L226" s="290" t="s">
        <v>4623</v>
      </c>
      <c r="M226" s="290" t="s">
        <v>4623</v>
      </c>
      <c r="N226" s="290" t="s">
        <v>4623</v>
      </c>
      <c r="O226" s="290" t="s">
        <v>4623</v>
      </c>
      <c r="P226" s="290" t="s">
        <v>999</v>
      </c>
      <c r="Q226" s="291" t="s">
        <v>4623</v>
      </c>
      <c r="R226" s="276"/>
      <c r="S226" s="277">
        <f>IF(OR(C226="",C226=T$4),NA(),MATCH($B226&amp;$C226,'Smelter Reference List'!$J:$J,0))</f>
        <v>222</v>
      </c>
      <c r="T226" s="278"/>
      <c r="U226" s="278"/>
      <c r="V226" s="278"/>
      <c r="W226" s="278"/>
    </row>
    <row r="227" spans="1:23" s="269" customFormat="1" ht="20.25">
      <c r="A227" s="267"/>
      <c r="B227" s="275" t="s">
        <v>2436</v>
      </c>
      <c r="C227" s="275" t="s">
        <v>3831</v>
      </c>
      <c r="D227" s="168" t="s">
        <v>5041</v>
      </c>
      <c r="E227" s="168" t="s">
        <v>2294</v>
      </c>
      <c r="F227" s="168" t="s">
        <v>4623</v>
      </c>
      <c r="G227" s="168" t="s">
        <v>4623</v>
      </c>
      <c r="H227" s="292" t="s">
        <v>5042</v>
      </c>
      <c r="I227" s="293" t="s">
        <v>5043</v>
      </c>
      <c r="J227" s="293" t="s">
        <v>4623</v>
      </c>
      <c r="K227" s="290" t="s">
        <v>4623</v>
      </c>
      <c r="L227" s="290" t="s">
        <v>4623</v>
      </c>
      <c r="M227" s="290" t="s">
        <v>4623</v>
      </c>
      <c r="N227" s="290" t="s">
        <v>4623</v>
      </c>
      <c r="O227" s="290" t="s">
        <v>4623</v>
      </c>
      <c r="P227" s="290" t="s">
        <v>999</v>
      </c>
      <c r="Q227" s="291" t="s">
        <v>4623</v>
      </c>
      <c r="R227" s="276"/>
      <c r="S227" s="277">
        <f>IF(OR(C227="",C227=T$4),NA(),MATCH($B227&amp;$C227,'Smelter Reference List'!$J:$J,0))</f>
        <v>222</v>
      </c>
      <c r="T227" s="278"/>
      <c r="U227" s="278"/>
      <c r="V227" s="278"/>
      <c r="W227" s="278"/>
    </row>
    <row r="228" spans="1:23" s="269" customFormat="1" ht="20.25">
      <c r="A228" s="267"/>
      <c r="B228" s="275" t="s">
        <v>2436</v>
      </c>
      <c r="C228" s="275" t="s">
        <v>3831</v>
      </c>
      <c r="D228" s="168" t="s">
        <v>5044</v>
      </c>
      <c r="E228" s="168" t="s">
        <v>2294</v>
      </c>
      <c r="F228" s="168" t="s">
        <v>4623</v>
      </c>
      <c r="G228" s="168" t="s">
        <v>4623</v>
      </c>
      <c r="H228" s="292" t="s">
        <v>4623</v>
      </c>
      <c r="I228" s="293" t="s">
        <v>4623</v>
      </c>
      <c r="J228" s="293" t="s">
        <v>4623</v>
      </c>
      <c r="K228" s="290" t="s">
        <v>4623</v>
      </c>
      <c r="L228" s="290" t="s">
        <v>4623</v>
      </c>
      <c r="M228" s="290" t="s">
        <v>4623</v>
      </c>
      <c r="N228" s="290" t="s">
        <v>4623</v>
      </c>
      <c r="O228" s="290" t="s">
        <v>4623</v>
      </c>
      <c r="P228" s="290" t="s">
        <v>999</v>
      </c>
      <c r="Q228" s="291" t="s">
        <v>4623</v>
      </c>
      <c r="R228" s="276"/>
      <c r="S228" s="277">
        <f>IF(OR(C228="",C228=T$4),NA(),MATCH($B228&amp;$C228,'Smelter Reference List'!$J:$J,0))</f>
        <v>222</v>
      </c>
      <c r="T228" s="278"/>
      <c r="U228" s="278"/>
      <c r="V228" s="278"/>
      <c r="W228" s="278"/>
    </row>
    <row r="229" spans="1:23" s="269" customFormat="1" ht="20.25">
      <c r="A229" s="267"/>
      <c r="B229" s="275" t="s">
        <v>8259</v>
      </c>
      <c r="C229" s="275" t="s">
        <v>3831</v>
      </c>
      <c r="D229" s="168" t="s">
        <v>5045</v>
      </c>
      <c r="E229" s="168" t="s">
        <v>2294</v>
      </c>
      <c r="F229" s="168" t="s">
        <v>4623</v>
      </c>
      <c r="G229" s="168" t="s">
        <v>4623</v>
      </c>
      <c r="H229" s="292" t="s">
        <v>4623</v>
      </c>
      <c r="I229" s="293" t="s">
        <v>4623</v>
      </c>
      <c r="J229" s="293" t="s">
        <v>4623</v>
      </c>
      <c r="K229" s="290" t="s">
        <v>4623</v>
      </c>
      <c r="L229" s="290" t="s">
        <v>4623</v>
      </c>
      <c r="M229" s="290" t="s">
        <v>4623</v>
      </c>
      <c r="N229" s="290" t="s">
        <v>4623</v>
      </c>
      <c r="O229" s="290" t="s">
        <v>4623</v>
      </c>
      <c r="P229" s="290" t="s">
        <v>999</v>
      </c>
      <c r="Q229" s="291" t="s">
        <v>4623</v>
      </c>
      <c r="R229" s="276"/>
      <c r="S229" s="277">
        <f>IF(OR(C229="",C229=T$4),NA(),MATCH($B229&amp;$C229,'Smelter Reference List'!$J:$J,0))</f>
        <v>222</v>
      </c>
      <c r="T229" s="278"/>
      <c r="U229" s="278"/>
      <c r="V229" s="278"/>
      <c r="W229" s="278"/>
    </row>
    <row r="230" spans="1:23" s="269" customFormat="1" ht="20.25">
      <c r="A230" s="267"/>
      <c r="B230" s="275" t="s">
        <v>2436</v>
      </c>
      <c r="C230" s="275" t="s">
        <v>3831</v>
      </c>
      <c r="D230" s="168" t="s">
        <v>5046</v>
      </c>
      <c r="E230" s="168" t="s">
        <v>2294</v>
      </c>
      <c r="F230" s="168" t="s">
        <v>4623</v>
      </c>
      <c r="G230" s="168" t="s">
        <v>4623</v>
      </c>
      <c r="H230" s="292" t="s">
        <v>4623</v>
      </c>
      <c r="I230" s="293" t="s">
        <v>4623</v>
      </c>
      <c r="J230" s="293" t="s">
        <v>4623</v>
      </c>
      <c r="K230" s="290" t="s">
        <v>4623</v>
      </c>
      <c r="L230" s="290" t="s">
        <v>4623</v>
      </c>
      <c r="M230" s="290" t="s">
        <v>4623</v>
      </c>
      <c r="N230" s="290" t="s">
        <v>4623</v>
      </c>
      <c r="O230" s="290" t="s">
        <v>4623</v>
      </c>
      <c r="P230" s="290" t="s">
        <v>999</v>
      </c>
      <c r="Q230" s="291" t="s">
        <v>4623</v>
      </c>
      <c r="R230" s="276"/>
      <c r="S230" s="277">
        <f>IF(OR(C230="",C230=T$4),NA(),MATCH($B230&amp;$C230,'Smelter Reference List'!$J:$J,0))</f>
        <v>222</v>
      </c>
      <c r="T230" s="278"/>
      <c r="U230" s="278"/>
      <c r="V230" s="278"/>
      <c r="W230" s="278"/>
    </row>
    <row r="231" spans="1:23" s="269" customFormat="1" ht="20.25">
      <c r="A231" s="267"/>
      <c r="B231" s="275" t="s">
        <v>2436</v>
      </c>
      <c r="C231" s="275" t="s">
        <v>3831</v>
      </c>
      <c r="D231" s="168" t="s">
        <v>5047</v>
      </c>
      <c r="E231" s="168" t="s">
        <v>2294</v>
      </c>
      <c r="F231" s="168" t="s">
        <v>4623</v>
      </c>
      <c r="G231" s="168" t="s">
        <v>4623</v>
      </c>
      <c r="H231" s="292" t="s">
        <v>4623</v>
      </c>
      <c r="I231" s="293" t="s">
        <v>4623</v>
      </c>
      <c r="J231" s="293" t="s">
        <v>4623</v>
      </c>
      <c r="K231" s="290" t="s">
        <v>4623</v>
      </c>
      <c r="L231" s="290" t="s">
        <v>4623</v>
      </c>
      <c r="M231" s="290" t="s">
        <v>4623</v>
      </c>
      <c r="N231" s="290" t="s">
        <v>4623</v>
      </c>
      <c r="O231" s="290" t="s">
        <v>4623</v>
      </c>
      <c r="P231" s="290" t="s">
        <v>999</v>
      </c>
      <c r="Q231" s="291" t="s">
        <v>4623</v>
      </c>
      <c r="R231" s="276"/>
      <c r="S231" s="277">
        <f>IF(OR(C231="",C231=T$4),NA(),MATCH($B231&amp;$C231,'Smelter Reference List'!$J:$J,0))</f>
        <v>222</v>
      </c>
      <c r="T231" s="278"/>
      <c r="U231" s="278"/>
      <c r="V231" s="278"/>
      <c r="W231" s="278"/>
    </row>
    <row r="232" spans="1:23" s="269" customFormat="1" ht="20.25">
      <c r="A232" s="267"/>
      <c r="B232" s="275" t="s">
        <v>2436</v>
      </c>
      <c r="C232" s="275" t="s">
        <v>3831</v>
      </c>
      <c r="D232" s="168" t="s">
        <v>5048</v>
      </c>
      <c r="E232" s="168" t="s">
        <v>2294</v>
      </c>
      <c r="F232" s="168" t="s">
        <v>4623</v>
      </c>
      <c r="G232" s="168" t="s">
        <v>4623</v>
      </c>
      <c r="H232" s="292" t="s">
        <v>4623</v>
      </c>
      <c r="I232" s="293" t="s">
        <v>4623</v>
      </c>
      <c r="J232" s="293" t="s">
        <v>4623</v>
      </c>
      <c r="K232" s="290" t="s">
        <v>4623</v>
      </c>
      <c r="L232" s="290" t="s">
        <v>4623</v>
      </c>
      <c r="M232" s="290" t="s">
        <v>4623</v>
      </c>
      <c r="N232" s="290" t="s">
        <v>4623</v>
      </c>
      <c r="O232" s="290" t="s">
        <v>4623</v>
      </c>
      <c r="P232" s="290" t="s">
        <v>999</v>
      </c>
      <c r="Q232" s="291" t="s">
        <v>4623</v>
      </c>
      <c r="R232" s="276"/>
      <c r="S232" s="277">
        <f>IF(OR(C232="",C232=T$4),NA(),MATCH($B232&amp;$C232,'Smelter Reference List'!$J:$J,0))</f>
        <v>222</v>
      </c>
      <c r="T232" s="278"/>
      <c r="U232" s="278"/>
      <c r="V232" s="278"/>
      <c r="W232" s="278"/>
    </row>
    <row r="233" spans="1:23" s="269" customFormat="1" ht="20.25">
      <c r="A233" s="267"/>
      <c r="B233" s="275" t="s">
        <v>2436</v>
      </c>
      <c r="C233" s="275" t="s">
        <v>3831</v>
      </c>
      <c r="D233" s="168" t="s">
        <v>5049</v>
      </c>
      <c r="E233" s="168" t="s">
        <v>2294</v>
      </c>
      <c r="F233" s="168" t="s">
        <v>4623</v>
      </c>
      <c r="G233" s="168" t="s">
        <v>4623</v>
      </c>
      <c r="H233" s="292" t="s">
        <v>4623</v>
      </c>
      <c r="I233" s="293" t="s">
        <v>4623</v>
      </c>
      <c r="J233" s="293" t="s">
        <v>4623</v>
      </c>
      <c r="K233" s="290" t="s">
        <v>4623</v>
      </c>
      <c r="L233" s="290" t="s">
        <v>4623</v>
      </c>
      <c r="M233" s="290" t="s">
        <v>4623</v>
      </c>
      <c r="N233" s="290" t="s">
        <v>4623</v>
      </c>
      <c r="O233" s="290" t="s">
        <v>4623</v>
      </c>
      <c r="P233" s="290" t="s">
        <v>999</v>
      </c>
      <c r="Q233" s="291" t="s">
        <v>4623</v>
      </c>
      <c r="R233" s="276"/>
      <c r="S233" s="277">
        <f>IF(OR(C233="",C233=T$4),NA(),MATCH($B233&amp;$C233,'Smelter Reference List'!$J:$J,0))</f>
        <v>222</v>
      </c>
      <c r="T233" s="278"/>
      <c r="U233" s="278"/>
      <c r="V233" s="278"/>
      <c r="W233" s="278"/>
    </row>
    <row r="234" spans="1:23" s="269" customFormat="1" ht="20.25">
      <c r="A234" s="267"/>
      <c r="B234" s="275" t="s">
        <v>2436</v>
      </c>
      <c r="C234" s="275" t="s">
        <v>3831</v>
      </c>
      <c r="D234" s="168" t="s">
        <v>5050</v>
      </c>
      <c r="E234" s="168" t="s">
        <v>2294</v>
      </c>
      <c r="F234" s="168" t="s">
        <v>4623</v>
      </c>
      <c r="G234" s="168" t="s">
        <v>4623</v>
      </c>
      <c r="H234" s="292" t="s">
        <v>4623</v>
      </c>
      <c r="I234" s="293" t="s">
        <v>4623</v>
      </c>
      <c r="J234" s="293" t="s">
        <v>4623</v>
      </c>
      <c r="K234" s="290" t="s">
        <v>4623</v>
      </c>
      <c r="L234" s="290" t="s">
        <v>4623</v>
      </c>
      <c r="M234" s="290" t="s">
        <v>4623</v>
      </c>
      <c r="N234" s="290" t="s">
        <v>4623</v>
      </c>
      <c r="O234" s="290" t="s">
        <v>4623</v>
      </c>
      <c r="P234" s="290" t="s">
        <v>999</v>
      </c>
      <c r="Q234" s="291" t="s">
        <v>4623</v>
      </c>
      <c r="R234" s="276"/>
      <c r="S234" s="277">
        <f>IF(OR(C234="",C234=T$4),NA(),MATCH($B234&amp;$C234,'Smelter Reference List'!$J:$J,0))</f>
        <v>222</v>
      </c>
      <c r="T234" s="278"/>
      <c r="U234" s="278"/>
      <c r="V234" s="278"/>
      <c r="W234" s="278"/>
    </row>
    <row r="235" spans="1:23" s="269" customFormat="1" ht="20.25">
      <c r="A235" s="267"/>
      <c r="B235" s="275" t="s">
        <v>2436</v>
      </c>
      <c r="C235" s="275" t="s">
        <v>3831</v>
      </c>
      <c r="D235" s="168" t="s">
        <v>5051</v>
      </c>
      <c r="E235" s="168" t="s">
        <v>2294</v>
      </c>
      <c r="F235" s="168" t="s">
        <v>4623</v>
      </c>
      <c r="G235" s="168" t="s">
        <v>4623</v>
      </c>
      <c r="H235" s="292" t="s">
        <v>4623</v>
      </c>
      <c r="I235" s="293" t="s">
        <v>4623</v>
      </c>
      <c r="J235" s="293" t="s">
        <v>4623</v>
      </c>
      <c r="K235" s="290" t="s">
        <v>4623</v>
      </c>
      <c r="L235" s="290" t="s">
        <v>4623</v>
      </c>
      <c r="M235" s="290" t="s">
        <v>4623</v>
      </c>
      <c r="N235" s="290" t="s">
        <v>4623</v>
      </c>
      <c r="O235" s="290" t="s">
        <v>4623</v>
      </c>
      <c r="P235" s="290" t="s">
        <v>999</v>
      </c>
      <c r="Q235" s="291" t="s">
        <v>4623</v>
      </c>
      <c r="R235" s="276"/>
      <c r="S235" s="277">
        <f>IF(OR(C235="",C235=T$4),NA(),MATCH($B235&amp;$C235,'Smelter Reference List'!$J:$J,0))</f>
        <v>222</v>
      </c>
      <c r="T235" s="278"/>
      <c r="U235" s="278"/>
      <c r="V235" s="278"/>
      <c r="W235" s="278"/>
    </row>
    <row r="236" spans="1:23" s="269" customFormat="1" ht="20.25">
      <c r="A236" s="267"/>
      <c r="B236" s="275" t="s">
        <v>2436</v>
      </c>
      <c r="C236" s="275" t="s">
        <v>3831</v>
      </c>
      <c r="D236" s="168" t="s">
        <v>5052</v>
      </c>
      <c r="E236" s="168" t="s">
        <v>2294</v>
      </c>
      <c r="F236" s="168" t="s">
        <v>4623</v>
      </c>
      <c r="G236" s="168" t="s">
        <v>4623</v>
      </c>
      <c r="H236" s="292" t="s">
        <v>4623</v>
      </c>
      <c r="I236" s="293" t="s">
        <v>4623</v>
      </c>
      <c r="J236" s="293" t="s">
        <v>4623</v>
      </c>
      <c r="K236" s="290" t="s">
        <v>4623</v>
      </c>
      <c r="L236" s="290" t="s">
        <v>4623</v>
      </c>
      <c r="M236" s="290" t="s">
        <v>4623</v>
      </c>
      <c r="N236" s="290" t="s">
        <v>4623</v>
      </c>
      <c r="O236" s="290" t="s">
        <v>4623</v>
      </c>
      <c r="P236" s="290" t="s">
        <v>999</v>
      </c>
      <c r="Q236" s="291" t="s">
        <v>4623</v>
      </c>
      <c r="R236" s="276"/>
      <c r="S236" s="277">
        <f>IF(OR(C236="",C236=T$4),NA(),MATCH($B236&amp;$C236,'Smelter Reference List'!$J:$J,0))</f>
        <v>222</v>
      </c>
      <c r="T236" s="278"/>
      <c r="U236" s="278"/>
      <c r="V236" s="278"/>
      <c r="W236" s="278"/>
    </row>
    <row r="237" spans="1:23" s="269" customFormat="1" ht="20.25">
      <c r="A237" s="267"/>
      <c r="B237" s="275" t="s">
        <v>2436</v>
      </c>
      <c r="C237" s="275" t="s">
        <v>3831</v>
      </c>
      <c r="D237" s="168" t="s">
        <v>5053</v>
      </c>
      <c r="E237" s="168" t="s">
        <v>2294</v>
      </c>
      <c r="F237" s="168" t="s">
        <v>4623</v>
      </c>
      <c r="G237" s="168" t="s">
        <v>4623</v>
      </c>
      <c r="H237" s="292" t="s">
        <v>4623</v>
      </c>
      <c r="I237" s="293" t="s">
        <v>4623</v>
      </c>
      <c r="J237" s="293" t="s">
        <v>4623</v>
      </c>
      <c r="K237" s="290" t="s">
        <v>4623</v>
      </c>
      <c r="L237" s="290" t="s">
        <v>4623</v>
      </c>
      <c r="M237" s="290" t="s">
        <v>4623</v>
      </c>
      <c r="N237" s="290" t="s">
        <v>4623</v>
      </c>
      <c r="O237" s="290" t="s">
        <v>4623</v>
      </c>
      <c r="P237" s="290" t="s">
        <v>999</v>
      </c>
      <c r="Q237" s="291" t="s">
        <v>4623</v>
      </c>
      <c r="R237" s="276"/>
      <c r="S237" s="277">
        <f>IF(OR(C237="",C237=T$4),NA(),MATCH($B237&amp;$C237,'Smelter Reference List'!$J:$J,0))</f>
        <v>222</v>
      </c>
      <c r="T237" s="278"/>
      <c r="U237" s="278"/>
      <c r="V237" s="278"/>
      <c r="W237" s="278"/>
    </row>
    <row r="238" spans="1:23" s="269" customFormat="1" ht="20.25">
      <c r="A238" s="267"/>
      <c r="B238" s="275" t="s">
        <v>2436</v>
      </c>
      <c r="C238" s="275" t="s">
        <v>3831</v>
      </c>
      <c r="D238" s="168" t="s">
        <v>5054</v>
      </c>
      <c r="E238" s="168" t="s">
        <v>2294</v>
      </c>
      <c r="F238" s="168" t="s">
        <v>4623</v>
      </c>
      <c r="G238" s="168" t="s">
        <v>4623</v>
      </c>
      <c r="H238" s="292" t="s">
        <v>4623</v>
      </c>
      <c r="I238" s="293" t="s">
        <v>4623</v>
      </c>
      <c r="J238" s="293" t="s">
        <v>4623</v>
      </c>
      <c r="K238" s="290" t="s">
        <v>4623</v>
      </c>
      <c r="L238" s="290" t="s">
        <v>4623</v>
      </c>
      <c r="M238" s="290" t="s">
        <v>4623</v>
      </c>
      <c r="N238" s="290" t="s">
        <v>4623</v>
      </c>
      <c r="O238" s="290" t="s">
        <v>4623</v>
      </c>
      <c r="P238" s="290" t="s">
        <v>999</v>
      </c>
      <c r="Q238" s="291" t="s">
        <v>4623</v>
      </c>
      <c r="R238" s="276"/>
      <c r="S238" s="277">
        <f>IF(OR(C238="",C238=T$4),NA(),MATCH($B238&amp;$C238,'Smelter Reference List'!$J:$J,0))</f>
        <v>222</v>
      </c>
      <c r="T238" s="278"/>
      <c r="U238" s="278"/>
      <c r="V238" s="278"/>
      <c r="W238" s="278"/>
    </row>
    <row r="239" spans="1:23" s="269" customFormat="1" ht="20.25">
      <c r="A239" s="267"/>
      <c r="B239" s="275" t="s">
        <v>2436</v>
      </c>
      <c r="C239" s="275" t="s">
        <v>3831</v>
      </c>
      <c r="D239" s="168" t="s">
        <v>5055</v>
      </c>
      <c r="E239" s="168" t="s">
        <v>2294</v>
      </c>
      <c r="F239" s="168" t="s">
        <v>4623</v>
      </c>
      <c r="G239" s="168" t="s">
        <v>4623</v>
      </c>
      <c r="H239" s="292" t="s">
        <v>5056</v>
      </c>
      <c r="I239" s="293" t="s">
        <v>5056</v>
      </c>
      <c r="J239" s="293" t="s">
        <v>5057</v>
      </c>
      <c r="K239" s="290" t="s">
        <v>5058</v>
      </c>
      <c r="L239" s="290" t="s">
        <v>5000</v>
      </c>
      <c r="M239" s="290" t="s">
        <v>5059</v>
      </c>
      <c r="N239" s="290" t="s">
        <v>5060</v>
      </c>
      <c r="O239" s="290" t="s">
        <v>5061</v>
      </c>
      <c r="P239" s="290" t="s">
        <v>999</v>
      </c>
      <c r="Q239" s="291" t="s">
        <v>4623</v>
      </c>
      <c r="R239" s="276"/>
      <c r="S239" s="277">
        <f>IF(OR(C239="",C239=T$4),NA(),MATCH($B239&amp;$C239,'Smelter Reference List'!$J:$J,0))</f>
        <v>222</v>
      </c>
      <c r="T239" s="278"/>
      <c r="U239" s="278"/>
      <c r="V239" s="278"/>
      <c r="W239" s="278"/>
    </row>
    <row r="240" spans="1:23" s="269" customFormat="1" ht="20.25">
      <c r="A240" s="267"/>
      <c r="B240" s="275" t="s">
        <v>2436</v>
      </c>
      <c r="C240" s="275" t="s">
        <v>3831</v>
      </c>
      <c r="D240" s="168" t="s">
        <v>5062</v>
      </c>
      <c r="E240" s="168" t="s">
        <v>2294</v>
      </c>
      <c r="F240" s="168" t="s">
        <v>4623</v>
      </c>
      <c r="G240" s="168" t="s">
        <v>4623</v>
      </c>
      <c r="H240" s="292" t="s">
        <v>4623</v>
      </c>
      <c r="I240" s="293" t="s">
        <v>4623</v>
      </c>
      <c r="J240" s="293" t="s">
        <v>4623</v>
      </c>
      <c r="K240" s="290" t="s">
        <v>4623</v>
      </c>
      <c r="L240" s="290" t="s">
        <v>4623</v>
      </c>
      <c r="M240" s="290" t="s">
        <v>4623</v>
      </c>
      <c r="N240" s="290" t="s">
        <v>4623</v>
      </c>
      <c r="O240" s="290" t="s">
        <v>4623</v>
      </c>
      <c r="P240" s="290" t="s">
        <v>999</v>
      </c>
      <c r="Q240" s="291" t="s">
        <v>4623</v>
      </c>
      <c r="R240" s="276"/>
      <c r="S240" s="277">
        <f>IF(OR(C240="",C240=T$4),NA(),MATCH($B240&amp;$C240,'Smelter Reference List'!$J:$J,0))</f>
        <v>222</v>
      </c>
      <c r="T240" s="278"/>
      <c r="U240" s="278"/>
      <c r="V240" s="278"/>
      <c r="W240" s="278"/>
    </row>
    <row r="241" spans="1:23" s="269" customFormat="1" ht="20.25">
      <c r="A241" s="267"/>
      <c r="B241" s="275" t="s">
        <v>2436</v>
      </c>
      <c r="C241" s="275" t="s">
        <v>3831</v>
      </c>
      <c r="D241" s="168" t="s">
        <v>5063</v>
      </c>
      <c r="E241" s="168" t="s">
        <v>2294</v>
      </c>
      <c r="F241" s="168" t="s">
        <v>4623</v>
      </c>
      <c r="G241" s="168" t="s">
        <v>4623</v>
      </c>
      <c r="H241" s="292" t="s">
        <v>4623</v>
      </c>
      <c r="I241" s="293" t="s">
        <v>4623</v>
      </c>
      <c r="J241" s="293" t="s">
        <v>4623</v>
      </c>
      <c r="K241" s="290" t="s">
        <v>4623</v>
      </c>
      <c r="L241" s="290" t="s">
        <v>4623</v>
      </c>
      <c r="M241" s="290" t="s">
        <v>4623</v>
      </c>
      <c r="N241" s="290" t="s">
        <v>4623</v>
      </c>
      <c r="O241" s="290" t="s">
        <v>4623</v>
      </c>
      <c r="P241" s="290" t="s">
        <v>999</v>
      </c>
      <c r="Q241" s="291" t="s">
        <v>4623</v>
      </c>
      <c r="R241" s="276"/>
      <c r="S241" s="277">
        <f>IF(OR(C241="",C241=T$4),NA(),MATCH($B241&amp;$C241,'Smelter Reference List'!$J:$J,0))</f>
        <v>222</v>
      </c>
      <c r="T241" s="278"/>
      <c r="U241" s="278"/>
      <c r="V241" s="278"/>
      <c r="W241" s="278"/>
    </row>
    <row r="242" spans="1:23" s="269" customFormat="1" ht="20.25">
      <c r="A242" s="267"/>
      <c r="B242" s="275" t="s">
        <v>2436</v>
      </c>
      <c r="C242" s="275" t="s">
        <v>3831</v>
      </c>
      <c r="D242" s="168" t="s">
        <v>5064</v>
      </c>
      <c r="E242" s="168" t="s">
        <v>2294</v>
      </c>
      <c r="F242" s="168" t="s">
        <v>4623</v>
      </c>
      <c r="G242" s="168" t="s">
        <v>4623</v>
      </c>
      <c r="H242" s="292" t="s">
        <v>4623</v>
      </c>
      <c r="I242" s="293" t="s">
        <v>4623</v>
      </c>
      <c r="J242" s="293" t="s">
        <v>4623</v>
      </c>
      <c r="K242" s="290" t="s">
        <v>4623</v>
      </c>
      <c r="L242" s="290" t="s">
        <v>4623</v>
      </c>
      <c r="M242" s="290" t="s">
        <v>4623</v>
      </c>
      <c r="N242" s="290" t="s">
        <v>4623</v>
      </c>
      <c r="O242" s="290" t="s">
        <v>4623</v>
      </c>
      <c r="P242" s="290" t="s">
        <v>999</v>
      </c>
      <c r="Q242" s="291" t="s">
        <v>4623</v>
      </c>
      <c r="R242" s="276"/>
      <c r="S242" s="277">
        <f>IF(OR(C242="",C242=T$4),NA(),MATCH($B242&amp;$C242,'Smelter Reference List'!$J:$J,0))</f>
        <v>222</v>
      </c>
      <c r="T242" s="278"/>
      <c r="U242" s="278"/>
      <c r="V242" s="278"/>
      <c r="W242" s="278"/>
    </row>
    <row r="243" spans="1:23" s="269" customFormat="1" ht="20.25">
      <c r="A243" s="267"/>
      <c r="B243" s="275" t="s">
        <v>2436</v>
      </c>
      <c r="C243" s="275" t="s">
        <v>3831</v>
      </c>
      <c r="D243" s="168" t="s">
        <v>5065</v>
      </c>
      <c r="E243" s="168" t="s">
        <v>2294</v>
      </c>
      <c r="F243" s="168" t="s">
        <v>4623</v>
      </c>
      <c r="G243" s="168" t="s">
        <v>4623</v>
      </c>
      <c r="H243" s="292" t="s">
        <v>4623</v>
      </c>
      <c r="I243" s="293" t="s">
        <v>4623</v>
      </c>
      <c r="J243" s="293" t="s">
        <v>4623</v>
      </c>
      <c r="K243" s="290" t="s">
        <v>4623</v>
      </c>
      <c r="L243" s="290" t="s">
        <v>4623</v>
      </c>
      <c r="M243" s="290" t="s">
        <v>4623</v>
      </c>
      <c r="N243" s="290" t="s">
        <v>4623</v>
      </c>
      <c r="O243" s="290" t="s">
        <v>4623</v>
      </c>
      <c r="P243" s="290" t="s">
        <v>999</v>
      </c>
      <c r="Q243" s="291" t="s">
        <v>4623</v>
      </c>
      <c r="R243" s="276"/>
      <c r="S243" s="277">
        <f>IF(OR(C243="",C243=T$4),NA(),MATCH($B243&amp;$C243,'Smelter Reference List'!$J:$J,0))</f>
        <v>222</v>
      </c>
      <c r="T243" s="278"/>
      <c r="U243" s="278"/>
      <c r="V243" s="278"/>
      <c r="W243" s="278"/>
    </row>
    <row r="244" spans="1:23" s="269" customFormat="1" ht="20.25">
      <c r="A244" s="267"/>
      <c r="B244" s="275" t="s">
        <v>2436</v>
      </c>
      <c r="C244" s="275" t="s">
        <v>3831</v>
      </c>
      <c r="D244" s="168" t="s">
        <v>5066</v>
      </c>
      <c r="E244" s="168" t="s">
        <v>2294</v>
      </c>
      <c r="F244" s="168" t="s">
        <v>4623</v>
      </c>
      <c r="G244" s="168" t="s">
        <v>4623</v>
      </c>
      <c r="H244" s="292" t="s">
        <v>4623</v>
      </c>
      <c r="I244" s="293" t="s">
        <v>4623</v>
      </c>
      <c r="J244" s="293" t="s">
        <v>4623</v>
      </c>
      <c r="K244" s="290" t="s">
        <v>4623</v>
      </c>
      <c r="L244" s="290" t="s">
        <v>4623</v>
      </c>
      <c r="M244" s="290" t="s">
        <v>4623</v>
      </c>
      <c r="N244" s="290" t="s">
        <v>4623</v>
      </c>
      <c r="O244" s="290" t="s">
        <v>4623</v>
      </c>
      <c r="P244" s="290" t="s">
        <v>999</v>
      </c>
      <c r="Q244" s="291" t="s">
        <v>4623</v>
      </c>
      <c r="R244" s="276"/>
      <c r="S244" s="277">
        <f>IF(OR(C244="",C244=T$4),NA(),MATCH($B244&amp;$C244,'Smelter Reference List'!$J:$J,0))</f>
        <v>222</v>
      </c>
      <c r="T244" s="278"/>
      <c r="U244" s="278"/>
      <c r="V244" s="278"/>
      <c r="W244" s="278"/>
    </row>
    <row r="245" spans="1:23" s="269" customFormat="1" ht="20.25">
      <c r="A245" s="267"/>
      <c r="B245" s="275" t="s">
        <v>2436</v>
      </c>
      <c r="C245" s="275" t="s">
        <v>3831</v>
      </c>
      <c r="D245" s="168" t="s">
        <v>5067</v>
      </c>
      <c r="E245" s="168" t="s">
        <v>2294</v>
      </c>
      <c r="F245" s="168" t="s">
        <v>4623</v>
      </c>
      <c r="G245" s="168" t="s">
        <v>4623</v>
      </c>
      <c r="H245" s="292" t="s">
        <v>4623</v>
      </c>
      <c r="I245" s="293" t="s">
        <v>4623</v>
      </c>
      <c r="J245" s="293" t="s">
        <v>4623</v>
      </c>
      <c r="K245" s="290" t="s">
        <v>4623</v>
      </c>
      <c r="L245" s="290" t="s">
        <v>4623</v>
      </c>
      <c r="M245" s="290" t="s">
        <v>4623</v>
      </c>
      <c r="N245" s="290" t="s">
        <v>4623</v>
      </c>
      <c r="O245" s="290" t="s">
        <v>4623</v>
      </c>
      <c r="P245" s="290" t="s">
        <v>999</v>
      </c>
      <c r="Q245" s="291" t="s">
        <v>4623</v>
      </c>
      <c r="R245" s="276"/>
      <c r="S245" s="277">
        <f>IF(OR(C245="",C245=T$4),NA(),MATCH($B245&amp;$C245,'Smelter Reference List'!$J:$J,0))</f>
        <v>222</v>
      </c>
      <c r="T245" s="278"/>
      <c r="U245" s="278"/>
      <c r="V245" s="278"/>
      <c r="W245" s="278"/>
    </row>
    <row r="246" spans="1:23" s="269" customFormat="1" ht="20.25">
      <c r="A246" s="267"/>
      <c r="B246" s="275" t="s">
        <v>2436</v>
      </c>
      <c r="C246" s="275" t="s">
        <v>3831</v>
      </c>
      <c r="D246" s="168" t="s">
        <v>5068</v>
      </c>
      <c r="E246" s="168" t="s">
        <v>2294</v>
      </c>
      <c r="F246" s="168" t="s">
        <v>4623</v>
      </c>
      <c r="G246" s="168" t="s">
        <v>4623</v>
      </c>
      <c r="H246" s="292" t="s">
        <v>4623</v>
      </c>
      <c r="I246" s="293" t="s">
        <v>4623</v>
      </c>
      <c r="J246" s="293" t="s">
        <v>4623</v>
      </c>
      <c r="K246" s="290" t="s">
        <v>4623</v>
      </c>
      <c r="L246" s="290" t="s">
        <v>4623</v>
      </c>
      <c r="M246" s="290" t="s">
        <v>4623</v>
      </c>
      <c r="N246" s="290" t="s">
        <v>4623</v>
      </c>
      <c r="O246" s="290" t="s">
        <v>4623</v>
      </c>
      <c r="P246" s="290" t="s">
        <v>999</v>
      </c>
      <c r="Q246" s="291" t="s">
        <v>4623</v>
      </c>
      <c r="R246" s="276"/>
      <c r="S246" s="277">
        <f>IF(OR(C246="",C246=T$4),NA(),MATCH($B246&amp;$C246,'Smelter Reference List'!$J:$J,0))</f>
        <v>222</v>
      </c>
      <c r="T246" s="278"/>
      <c r="U246" s="278"/>
      <c r="V246" s="278"/>
      <c r="W246" s="278"/>
    </row>
    <row r="247" spans="1:23" s="269" customFormat="1" ht="20.25">
      <c r="A247" s="267"/>
      <c r="B247" s="275" t="s">
        <v>2436</v>
      </c>
      <c r="C247" s="275" t="s">
        <v>3831</v>
      </c>
      <c r="D247" s="168" t="s">
        <v>5069</v>
      </c>
      <c r="E247" s="168" t="s">
        <v>2294</v>
      </c>
      <c r="F247" s="168" t="s">
        <v>4623</v>
      </c>
      <c r="G247" s="168" t="s">
        <v>4623</v>
      </c>
      <c r="H247" s="292" t="s">
        <v>4623</v>
      </c>
      <c r="I247" s="293" t="s">
        <v>4623</v>
      </c>
      <c r="J247" s="293" t="s">
        <v>4623</v>
      </c>
      <c r="K247" s="290" t="s">
        <v>4623</v>
      </c>
      <c r="L247" s="290" t="s">
        <v>4623</v>
      </c>
      <c r="M247" s="290" t="s">
        <v>4623</v>
      </c>
      <c r="N247" s="290" t="s">
        <v>4623</v>
      </c>
      <c r="O247" s="290" t="s">
        <v>4623</v>
      </c>
      <c r="P247" s="290" t="s">
        <v>999</v>
      </c>
      <c r="Q247" s="291" t="s">
        <v>4623</v>
      </c>
      <c r="R247" s="276"/>
      <c r="S247" s="277">
        <f>IF(OR(C247="",C247=T$4),NA(),MATCH($B247&amp;$C247,'Smelter Reference List'!$J:$J,0))</f>
        <v>222</v>
      </c>
      <c r="T247" s="278"/>
      <c r="U247" s="278"/>
      <c r="V247" s="278"/>
      <c r="W247" s="278"/>
    </row>
    <row r="248" spans="1:23" s="269" customFormat="1" ht="20.25">
      <c r="A248" s="267"/>
      <c r="B248" s="275" t="s">
        <v>2436</v>
      </c>
      <c r="C248" s="275" t="s">
        <v>3831</v>
      </c>
      <c r="D248" s="168" t="s">
        <v>5070</v>
      </c>
      <c r="E248" s="168" t="s">
        <v>2294</v>
      </c>
      <c r="F248" s="168" t="s">
        <v>4623</v>
      </c>
      <c r="G248" s="168" t="s">
        <v>4623</v>
      </c>
      <c r="H248" s="292" t="s">
        <v>4623</v>
      </c>
      <c r="I248" s="293" t="s">
        <v>4623</v>
      </c>
      <c r="J248" s="293" t="s">
        <v>4623</v>
      </c>
      <c r="K248" s="290" t="s">
        <v>5071</v>
      </c>
      <c r="L248" s="290" t="s">
        <v>5072</v>
      </c>
      <c r="M248" s="290" t="s">
        <v>4623</v>
      </c>
      <c r="N248" s="290" t="s">
        <v>4623</v>
      </c>
      <c r="O248" s="290" t="s">
        <v>4623</v>
      </c>
      <c r="P248" s="290" t="s">
        <v>999</v>
      </c>
      <c r="Q248" s="291" t="s">
        <v>4623</v>
      </c>
      <c r="R248" s="276"/>
      <c r="S248" s="277">
        <f>IF(OR(C248="",C248=T$4),NA(),MATCH($B248&amp;$C248,'Smelter Reference List'!$J:$J,0))</f>
        <v>222</v>
      </c>
      <c r="T248" s="278"/>
      <c r="U248" s="278"/>
      <c r="V248" s="278"/>
      <c r="W248" s="278"/>
    </row>
    <row r="249" spans="1:23" s="269" customFormat="1" ht="20.25">
      <c r="A249" s="267"/>
      <c r="B249" s="275" t="s">
        <v>2436</v>
      </c>
      <c r="C249" s="275" t="s">
        <v>3831</v>
      </c>
      <c r="D249" s="168" t="s">
        <v>5073</v>
      </c>
      <c r="E249" s="168" t="s">
        <v>2294</v>
      </c>
      <c r="F249" s="168" t="s">
        <v>4623</v>
      </c>
      <c r="G249" s="168" t="s">
        <v>4623</v>
      </c>
      <c r="H249" s="292" t="s">
        <v>5074</v>
      </c>
      <c r="I249" s="293" t="s">
        <v>5075</v>
      </c>
      <c r="J249" s="293" t="s">
        <v>5076</v>
      </c>
      <c r="K249" s="290" t="s">
        <v>5077</v>
      </c>
      <c r="L249" s="290" t="s">
        <v>5078</v>
      </c>
      <c r="M249" s="290" t="s">
        <v>4623</v>
      </c>
      <c r="N249" s="290" t="s">
        <v>5079</v>
      </c>
      <c r="O249" s="290" t="s">
        <v>4667</v>
      </c>
      <c r="P249" s="290" t="s">
        <v>999</v>
      </c>
      <c r="Q249" s="291" t="s">
        <v>4623</v>
      </c>
      <c r="R249" s="276"/>
      <c r="S249" s="277">
        <f>IF(OR(C249="",C249=T$4),NA(),MATCH($B249&amp;$C249,'Smelter Reference List'!$J:$J,0))</f>
        <v>222</v>
      </c>
      <c r="T249" s="278"/>
      <c r="U249" s="278"/>
      <c r="V249" s="278"/>
      <c r="W249" s="278"/>
    </row>
    <row r="250" spans="1:23" s="269" customFormat="1" ht="20.25">
      <c r="A250" s="267"/>
      <c r="B250" s="275" t="s">
        <v>2436</v>
      </c>
      <c r="C250" s="275" t="s">
        <v>3831</v>
      </c>
      <c r="D250" s="168" t="s">
        <v>5080</v>
      </c>
      <c r="E250" s="168" t="s">
        <v>2294</v>
      </c>
      <c r="F250" s="168" t="s">
        <v>4623</v>
      </c>
      <c r="G250" s="168" t="s">
        <v>4623</v>
      </c>
      <c r="H250" s="292" t="s">
        <v>4623</v>
      </c>
      <c r="I250" s="293" t="s">
        <v>4623</v>
      </c>
      <c r="J250" s="293" t="s">
        <v>4623</v>
      </c>
      <c r="K250" s="290" t="s">
        <v>4623</v>
      </c>
      <c r="L250" s="290" t="s">
        <v>4623</v>
      </c>
      <c r="M250" s="290" t="s">
        <v>4623</v>
      </c>
      <c r="N250" s="290" t="s">
        <v>4623</v>
      </c>
      <c r="O250" s="290" t="s">
        <v>4623</v>
      </c>
      <c r="P250" s="290" t="s">
        <v>999</v>
      </c>
      <c r="Q250" s="291" t="s">
        <v>4623</v>
      </c>
      <c r="R250" s="276"/>
      <c r="S250" s="277">
        <f>IF(OR(C250="",C250=T$4),NA(),MATCH($B250&amp;$C250,'Smelter Reference List'!$J:$J,0))</f>
        <v>222</v>
      </c>
      <c r="T250" s="278"/>
      <c r="U250" s="278"/>
      <c r="V250" s="278"/>
      <c r="W250" s="278"/>
    </row>
    <row r="251" spans="1:23" s="269" customFormat="1" ht="20.25">
      <c r="A251" s="267"/>
      <c r="B251" s="275" t="s">
        <v>2436</v>
      </c>
      <c r="C251" s="275" t="s">
        <v>3831</v>
      </c>
      <c r="D251" s="168" t="s">
        <v>5081</v>
      </c>
      <c r="E251" s="168" t="s">
        <v>2294</v>
      </c>
      <c r="F251" s="168" t="s">
        <v>4623</v>
      </c>
      <c r="G251" s="168" t="s">
        <v>4623</v>
      </c>
      <c r="H251" s="292" t="s">
        <v>4623</v>
      </c>
      <c r="I251" s="293" t="s">
        <v>4623</v>
      </c>
      <c r="J251" s="293" t="s">
        <v>4623</v>
      </c>
      <c r="K251" s="290" t="s">
        <v>4623</v>
      </c>
      <c r="L251" s="290" t="s">
        <v>4623</v>
      </c>
      <c r="M251" s="290" t="s">
        <v>4623</v>
      </c>
      <c r="N251" s="290" t="s">
        <v>4623</v>
      </c>
      <c r="O251" s="290" t="s">
        <v>4623</v>
      </c>
      <c r="P251" s="290" t="s">
        <v>999</v>
      </c>
      <c r="Q251" s="291" t="s">
        <v>4623</v>
      </c>
      <c r="R251" s="276"/>
      <c r="S251" s="277">
        <f>IF(OR(C251="",C251=T$4),NA(),MATCH($B251&amp;$C251,'Smelter Reference List'!$J:$J,0))</f>
        <v>222</v>
      </c>
      <c r="T251" s="278"/>
      <c r="U251" s="278"/>
      <c r="V251" s="278"/>
      <c r="W251" s="278"/>
    </row>
    <row r="252" spans="1:23" s="269" customFormat="1" ht="20.25">
      <c r="A252" s="267"/>
      <c r="B252" s="275" t="s">
        <v>2436</v>
      </c>
      <c r="C252" s="275" t="s">
        <v>3831</v>
      </c>
      <c r="D252" s="168" t="s">
        <v>5082</v>
      </c>
      <c r="E252" s="168" t="s">
        <v>2294</v>
      </c>
      <c r="F252" s="168" t="s">
        <v>4623</v>
      </c>
      <c r="G252" s="168" t="s">
        <v>4623</v>
      </c>
      <c r="H252" s="292" t="s">
        <v>4623</v>
      </c>
      <c r="I252" s="293" t="s">
        <v>4623</v>
      </c>
      <c r="J252" s="293" t="s">
        <v>4623</v>
      </c>
      <c r="K252" s="290" t="s">
        <v>4623</v>
      </c>
      <c r="L252" s="290" t="s">
        <v>4623</v>
      </c>
      <c r="M252" s="290" t="s">
        <v>4623</v>
      </c>
      <c r="N252" s="290" t="s">
        <v>4623</v>
      </c>
      <c r="O252" s="290" t="s">
        <v>4623</v>
      </c>
      <c r="P252" s="290" t="s">
        <v>999</v>
      </c>
      <c r="Q252" s="291" t="s">
        <v>4623</v>
      </c>
      <c r="R252" s="276"/>
      <c r="S252" s="277">
        <f>IF(OR(C252="",C252=T$4),NA(),MATCH($B252&amp;$C252,'Smelter Reference List'!$J:$J,0))</f>
        <v>222</v>
      </c>
      <c r="T252" s="278"/>
      <c r="U252" s="278"/>
      <c r="V252" s="278"/>
      <c r="W252" s="278"/>
    </row>
    <row r="253" spans="1:23" s="269" customFormat="1" ht="20.25">
      <c r="A253" s="267"/>
      <c r="B253" s="275" t="s">
        <v>2436</v>
      </c>
      <c r="C253" s="275" t="s">
        <v>3831</v>
      </c>
      <c r="D253" s="168" t="s">
        <v>5083</v>
      </c>
      <c r="E253" s="168" t="s">
        <v>2294</v>
      </c>
      <c r="F253" s="168" t="s">
        <v>4623</v>
      </c>
      <c r="G253" s="168" t="s">
        <v>4623</v>
      </c>
      <c r="H253" s="292" t="s">
        <v>4623</v>
      </c>
      <c r="I253" s="293" t="s">
        <v>4623</v>
      </c>
      <c r="J253" s="293" t="s">
        <v>4623</v>
      </c>
      <c r="K253" s="290" t="s">
        <v>4623</v>
      </c>
      <c r="L253" s="290" t="s">
        <v>4623</v>
      </c>
      <c r="M253" s="290" t="s">
        <v>4623</v>
      </c>
      <c r="N253" s="290" t="s">
        <v>4623</v>
      </c>
      <c r="O253" s="290" t="s">
        <v>4623</v>
      </c>
      <c r="P253" s="290" t="s">
        <v>999</v>
      </c>
      <c r="Q253" s="291" t="s">
        <v>4623</v>
      </c>
      <c r="R253" s="276"/>
      <c r="S253" s="277">
        <f>IF(OR(C253="",C253=T$4),NA(),MATCH($B253&amp;$C253,'Smelter Reference List'!$J:$J,0))</f>
        <v>222</v>
      </c>
      <c r="T253" s="278"/>
      <c r="U253" s="278"/>
      <c r="V253" s="278"/>
      <c r="W253" s="278"/>
    </row>
    <row r="254" spans="1:23" s="269" customFormat="1" ht="20.25">
      <c r="A254" s="267"/>
      <c r="B254" s="275" t="s">
        <v>2436</v>
      </c>
      <c r="C254" s="275" t="s">
        <v>3831</v>
      </c>
      <c r="D254" s="168" t="s">
        <v>5084</v>
      </c>
      <c r="E254" s="168" t="s">
        <v>2294</v>
      </c>
      <c r="F254" s="168" t="s">
        <v>4623</v>
      </c>
      <c r="G254" s="168" t="s">
        <v>4623</v>
      </c>
      <c r="H254" s="292" t="s">
        <v>4623</v>
      </c>
      <c r="I254" s="293" t="s">
        <v>4623</v>
      </c>
      <c r="J254" s="293" t="s">
        <v>4623</v>
      </c>
      <c r="K254" s="290" t="s">
        <v>4623</v>
      </c>
      <c r="L254" s="290" t="s">
        <v>4623</v>
      </c>
      <c r="M254" s="290" t="s">
        <v>4623</v>
      </c>
      <c r="N254" s="290" t="s">
        <v>4623</v>
      </c>
      <c r="O254" s="290" t="s">
        <v>4623</v>
      </c>
      <c r="P254" s="290" t="s">
        <v>999</v>
      </c>
      <c r="Q254" s="291" t="s">
        <v>4623</v>
      </c>
      <c r="R254" s="276"/>
      <c r="S254" s="277">
        <f>IF(OR(C254="",C254=T$4),NA(),MATCH($B254&amp;$C254,'Smelter Reference List'!$J:$J,0))</f>
        <v>222</v>
      </c>
      <c r="T254" s="278"/>
      <c r="U254" s="278"/>
      <c r="V254" s="278"/>
      <c r="W254" s="278"/>
    </row>
    <row r="255" spans="1:23" s="269" customFormat="1" ht="20.25">
      <c r="A255" s="267"/>
      <c r="B255" s="275" t="s">
        <v>2436</v>
      </c>
      <c r="C255" s="275" t="s">
        <v>3831</v>
      </c>
      <c r="D255" s="168" t="s">
        <v>5085</v>
      </c>
      <c r="E255" s="168" t="s">
        <v>2294</v>
      </c>
      <c r="F255" s="168" t="s">
        <v>4623</v>
      </c>
      <c r="G255" s="168" t="s">
        <v>4623</v>
      </c>
      <c r="H255" s="292" t="s">
        <v>4623</v>
      </c>
      <c r="I255" s="293" t="s">
        <v>4623</v>
      </c>
      <c r="J255" s="293" t="s">
        <v>4623</v>
      </c>
      <c r="K255" s="290" t="s">
        <v>4623</v>
      </c>
      <c r="L255" s="290" t="s">
        <v>4623</v>
      </c>
      <c r="M255" s="290" t="s">
        <v>4623</v>
      </c>
      <c r="N255" s="290" t="s">
        <v>4623</v>
      </c>
      <c r="O255" s="290" t="s">
        <v>4623</v>
      </c>
      <c r="P255" s="290" t="s">
        <v>999</v>
      </c>
      <c r="Q255" s="291" t="s">
        <v>4623</v>
      </c>
      <c r="R255" s="276"/>
      <c r="S255" s="277">
        <f>IF(OR(C255="",C255=T$4),NA(),MATCH($B255&amp;$C255,'Smelter Reference List'!$J:$J,0))</f>
        <v>222</v>
      </c>
      <c r="T255" s="278"/>
      <c r="U255" s="278"/>
      <c r="V255" s="278"/>
      <c r="W255" s="278"/>
    </row>
    <row r="256" spans="1:23" s="269" customFormat="1" ht="20.25">
      <c r="A256" s="267"/>
      <c r="B256" s="275" t="s">
        <v>2436</v>
      </c>
      <c r="C256" s="275" t="s">
        <v>3831</v>
      </c>
      <c r="D256" s="168" t="s">
        <v>5086</v>
      </c>
      <c r="E256" s="168" t="s">
        <v>2294</v>
      </c>
      <c r="F256" s="168" t="s">
        <v>4623</v>
      </c>
      <c r="G256" s="168" t="s">
        <v>4623</v>
      </c>
      <c r="H256" s="292" t="s">
        <v>5087</v>
      </c>
      <c r="I256" s="293" t="s">
        <v>3689</v>
      </c>
      <c r="J256" s="293" t="s">
        <v>5088</v>
      </c>
      <c r="K256" s="290" t="s">
        <v>5089</v>
      </c>
      <c r="L256" s="290" t="s">
        <v>5090</v>
      </c>
      <c r="M256" s="290" t="s">
        <v>5088</v>
      </c>
      <c r="N256" s="290" t="s">
        <v>5091</v>
      </c>
      <c r="O256" s="290" t="s">
        <v>4756</v>
      </c>
      <c r="P256" s="290" t="s">
        <v>999</v>
      </c>
      <c r="Q256" s="291" t="s">
        <v>5092</v>
      </c>
      <c r="R256" s="276"/>
      <c r="S256" s="277">
        <f>IF(OR(C256="",C256=T$4),NA(),MATCH($B256&amp;$C256,'Smelter Reference List'!$J:$J,0))</f>
        <v>222</v>
      </c>
      <c r="T256" s="278"/>
      <c r="U256" s="278"/>
      <c r="V256" s="278"/>
      <c r="W256" s="278"/>
    </row>
    <row r="257" spans="1:23" s="269" customFormat="1" ht="20.25">
      <c r="A257" s="267"/>
      <c r="B257" s="275" t="s">
        <v>2436</v>
      </c>
      <c r="C257" s="275" t="s">
        <v>3831</v>
      </c>
      <c r="D257" s="168" t="s">
        <v>5093</v>
      </c>
      <c r="E257" s="168" t="s">
        <v>2294</v>
      </c>
      <c r="F257" s="168" t="s">
        <v>4623</v>
      </c>
      <c r="G257" s="168" t="s">
        <v>4623</v>
      </c>
      <c r="H257" s="292" t="s">
        <v>4623</v>
      </c>
      <c r="I257" s="293" t="s">
        <v>4623</v>
      </c>
      <c r="J257" s="293" t="s">
        <v>4623</v>
      </c>
      <c r="K257" s="290" t="s">
        <v>4623</v>
      </c>
      <c r="L257" s="290" t="s">
        <v>4623</v>
      </c>
      <c r="M257" s="290" t="s">
        <v>4623</v>
      </c>
      <c r="N257" s="290" t="s">
        <v>4623</v>
      </c>
      <c r="O257" s="290" t="s">
        <v>4623</v>
      </c>
      <c r="P257" s="290" t="s">
        <v>999</v>
      </c>
      <c r="Q257" s="291" t="s">
        <v>4623</v>
      </c>
      <c r="R257" s="276"/>
      <c r="S257" s="277">
        <f>IF(OR(C257="",C257=T$4),NA(),MATCH($B257&amp;$C257,'Smelter Reference List'!$J:$J,0))</f>
        <v>222</v>
      </c>
      <c r="T257" s="278"/>
      <c r="U257" s="278"/>
      <c r="V257" s="278"/>
      <c r="W257" s="278"/>
    </row>
    <row r="258" spans="1:23" s="269" customFormat="1" ht="20.25">
      <c r="A258" s="267"/>
      <c r="B258" s="275" t="s">
        <v>2436</v>
      </c>
      <c r="C258" s="275" t="s">
        <v>3831</v>
      </c>
      <c r="D258" s="168" t="s">
        <v>5094</v>
      </c>
      <c r="E258" s="168" t="s">
        <v>2294</v>
      </c>
      <c r="F258" s="168" t="s">
        <v>4623</v>
      </c>
      <c r="G258" s="168" t="s">
        <v>4623</v>
      </c>
      <c r="H258" s="292" t="s">
        <v>4623</v>
      </c>
      <c r="I258" s="293" t="s">
        <v>4623</v>
      </c>
      <c r="J258" s="293" t="s">
        <v>4623</v>
      </c>
      <c r="K258" s="290" t="s">
        <v>4623</v>
      </c>
      <c r="L258" s="290" t="s">
        <v>4623</v>
      </c>
      <c r="M258" s="290" t="s">
        <v>4623</v>
      </c>
      <c r="N258" s="290" t="s">
        <v>4623</v>
      </c>
      <c r="O258" s="290" t="s">
        <v>4623</v>
      </c>
      <c r="P258" s="290" t="s">
        <v>999</v>
      </c>
      <c r="Q258" s="291" t="s">
        <v>4623</v>
      </c>
      <c r="R258" s="276"/>
      <c r="S258" s="277">
        <f>IF(OR(C258="",C258=T$4),NA(),MATCH($B258&amp;$C258,'Smelter Reference List'!$J:$J,0))</f>
        <v>222</v>
      </c>
      <c r="T258" s="278"/>
      <c r="U258" s="278"/>
      <c r="V258" s="278"/>
      <c r="W258" s="278"/>
    </row>
    <row r="259" spans="1:23" s="269" customFormat="1" ht="20.25">
      <c r="A259" s="267"/>
      <c r="B259" s="275" t="s">
        <v>2436</v>
      </c>
      <c r="C259" s="275" t="s">
        <v>3831</v>
      </c>
      <c r="D259" s="168" t="s">
        <v>5095</v>
      </c>
      <c r="E259" s="168" t="s">
        <v>2294</v>
      </c>
      <c r="F259" s="168" t="s">
        <v>4623</v>
      </c>
      <c r="G259" s="168" t="s">
        <v>4623</v>
      </c>
      <c r="H259" s="292" t="s">
        <v>4623</v>
      </c>
      <c r="I259" s="293" t="s">
        <v>4623</v>
      </c>
      <c r="J259" s="293" t="s">
        <v>4623</v>
      </c>
      <c r="K259" s="290" t="s">
        <v>4623</v>
      </c>
      <c r="L259" s="290" t="s">
        <v>4623</v>
      </c>
      <c r="M259" s="290" t="s">
        <v>4623</v>
      </c>
      <c r="N259" s="290" t="s">
        <v>4623</v>
      </c>
      <c r="O259" s="290" t="s">
        <v>4623</v>
      </c>
      <c r="P259" s="290" t="s">
        <v>999</v>
      </c>
      <c r="Q259" s="291" t="s">
        <v>4623</v>
      </c>
      <c r="R259" s="276"/>
      <c r="S259" s="277">
        <f>IF(OR(C259="",C259=T$4),NA(),MATCH($B259&amp;$C259,'Smelter Reference List'!$J:$J,0))</f>
        <v>222</v>
      </c>
      <c r="T259" s="278"/>
      <c r="U259" s="278"/>
      <c r="V259" s="278"/>
      <c r="W259" s="278"/>
    </row>
    <row r="260" spans="1:23" s="269" customFormat="1" ht="20.25">
      <c r="A260" s="267"/>
      <c r="B260" s="275" t="s">
        <v>2436</v>
      </c>
      <c r="C260" s="275" t="s">
        <v>3831</v>
      </c>
      <c r="D260" s="168" t="s">
        <v>5096</v>
      </c>
      <c r="E260" s="168" t="s">
        <v>2294</v>
      </c>
      <c r="F260" s="168" t="s">
        <v>4623</v>
      </c>
      <c r="G260" s="168" t="s">
        <v>4623</v>
      </c>
      <c r="H260" s="292" t="s">
        <v>4623</v>
      </c>
      <c r="I260" s="293" t="s">
        <v>4623</v>
      </c>
      <c r="J260" s="293" t="s">
        <v>4623</v>
      </c>
      <c r="K260" s="290" t="s">
        <v>4623</v>
      </c>
      <c r="L260" s="290" t="s">
        <v>4623</v>
      </c>
      <c r="M260" s="290" t="s">
        <v>4623</v>
      </c>
      <c r="N260" s="290" t="s">
        <v>4623</v>
      </c>
      <c r="O260" s="290" t="s">
        <v>4623</v>
      </c>
      <c r="P260" s="290" t="s">
        <v>999</v>
      </c>
      <c r="Q260" s="291" t="s">
        <v>4623</v>
      </c>
      <c r="R260" s="276"/>
      <c r="S260" s="277">
        <f>IF(OR(C260="",C260=T$4),NA(),MATCH($B260&amp;$C260,'Smelter Reference List'!$J:$J,0))</f>
        <v>222</v>
      </c>
      <c r="T260" s="278"/>
      <c r="U260" s="278"/>
      <c r="V260" s="278"/>
      <c r="W260" s="278"/>
    </row>
    <row r="261" spans="1:23" s="269" customFormat="1" ht="20.25">
      <c r="A261" s="267"/>
      <c r="B261" s="275" t="s">
        <v>2436</v>
      </c>
      <c r="C261" s="275" t="s">
        <v>3831</v>
      </c>
      <c r="D261" s="168" t="s">
        <v>5097</v>
      </c>
      <c r="E261" s="168" t="s">
        <v>2294</v>
      </c>
      <c r="F261" s="168" t="s">
        <v>4623</v>
      </c>
      <c r="G261" s="168" t="s">
        <v>4623</v>
      </c>
      <c r="H261" s="292" t="s">
        <v>4623</v>
      </c>
      <c r="I261" s="293" t="s">
        <v>4623</v>
      </c>
      <c r="J261" s="293" t="s">
        <v>4623</v>
      </c>
      <c r="K261" s="290" t="s">
        <v>4623</v>
      </c>
      <c r="L261" s="290" t="s">
        <v>4623</v>
      </c>
      <c r="M261" s="290" t="s">
        <v>4623</v>
      </c>
      <c r="N261" s="290" t="s">
        <v>4623</v>
      </c>
      <c r="O261" s="290" t="s">
        <v>4623</v>
      </c>
      <c r="P261" s="290" t="s">
        <v>999</v>
      </c>
      <c r="Q261" s="291" t="s">
        <v>4623</v>
      </c>
      <c r="R261" s="276"/>
      <c r="S261" s="277">
        <f>IF(OR(C261="",C261=T$4),NA(),MATCH($B261&amp;$C261,'Smelter Reference List'!$J:$J,0))</f>
        <v>222</v>
      </c>
      <c r="T261" s="278"/>
      <c r="U261" s="278"/>
      <c r="V261" s="278"/>
      <c r="W261" s="278"/>
    </row>
    <row r="262" spans="1:23" s="269" customFormat="1" ht="20.25">
      <c r="A262" s="267"/>
      <c r="B262" s="275" t="s">
        <v>2436</v>
      </c>
      <c r="C262" s="275" t="s">
        <v>3831</v>
      </c>
      <c r="D262" s="168" t="s">
        <v>5098</v>
      </c>
      <c r="E262" s="168" t="s">
        <v>2294</v>
      </c>
      <c r="F262" s="168" t="s">
        <v>4623</v>
      </c>
      <c r="G262" s="168" t="s">
        <v>4623</v>
      </c>
      <c r="H262" s="292" t="s">
        <v>4623</v>
      </c>
      <c r="I262" s="293" t="s">
        <v>4623</v>
      </c>
      <c r="J262" s="293" t="s">
        <v>4623</v>
      </c>
      <c r="K262" s="290" t="s">
        <v>4623</v>
      </c>
      <c r="L262" s="290" t="s">
        <v>4623</v>
      </c>
      <c r="M262" s="290" t="s">
        <v>4623</v>
      </c>
      <c r="N262" s="290" t="s">
        <v>4623</v>
      </c>
      <c r="O262" s="290" t="s">
        <v>4623</v>
      </c>
      <c r="P262" s="290" t="s">
        <v>999</v>
      </c>
      <c r="Q262" s="291" t="s">
        <v>4623</v>
      </c>
      <c r="R262" s="276"/>
      <c r="S262" s="277">
        <f>IF(OR(C262="",C262=T$4),NA(),MATCH($B262&amp;$C262,'Smelter Reference List'!$J:$J,0))</f>
        <v>222</v>
      </c>
      <c r="T262" s="278"/>
      <c r="U262" s="278"/>
      <c r="V262" s="278"/>
      <c r="W262" s="278"/>
    </row>
    <row r="263" spans="1:23" s="269" customFormat="1" ht="20.25">
      <c r="A263" s="267"/>
      <c r="B263" s="275" t="s">
        <v>2436</v>
      </c>
      <c r="C263" s="275" t="s">
        <v>3831</v>
      </c>
      <c r="D263" s="168" t="s">
        <v>5099</v>
      </c>
      <c r="E263" s="168" t="s">
        <v>2294</v>
      </c>
      <c r="F263" s="168" t="s">
        <v>4623</v>
      </c>
      <c r="G263" s="168" t="s">
        <v>4623</v>
      </c>
      <c r="H263" s="292" t="s">
        <v>4623</v>
      </c>
      <c r="I263" s="293" t="s">
        <v>4623</v>
      </c>
      <c r="J263" s="293" t="s">
        <v>4623</v>
      </c>
      <c r="K263" s="290" t="s">
        <v>4623</v>
      </c>
      <c r="L263" s="290" t="s">
        <v>4623</v>
      </c>
      <c r="M263" s="290" t="s">
        <v>4623</v>
      </c>
      <c r="N263" s="290" t="s">
        <v>4623</v>
      </c>
      <c r="O263" s="290" t="s">
        <v>4623</v>
      </c>
      <c r="P263" s="290" t="s">
        <v>999</v>
      </c>
      <c r="Q263" s="291" t="s">
        <v>4623</v>
      </c>
      <c r="R263" s="276"/>
      <c r="S263" s="277">
        <f>IF(OR(C263="",C263=T$4),NA(),MATCH($B263&amp;$C263,'Smelter Reference List'!$J:$J,0))</f>
        <v>222</v>
      </c>
      <c r="T263" s="278"/>
      <c r="U263" s="278"/>
      <c r="V263" s="278"/>
      <c r="W263" s="278"/>
    </row>
    <row r="264" spans="1:23" s="269" customFormat="1" ht="20.25">
      <c r="A264" s="267"/>
      <c r="B264" s="275" t="s">
        <v>2436</v>
      </c>
      <c r="C264" s="275" t="s">
        <v>3831</v>
      </c>
      <c r="D264" s="168" t="s">
        <v>5100</v>
      </c>
      <c r="E264" s="168" t="s">
        <v>2294</v>
      </c>
      <c r="F264" s="168" t="s">
        <v>4623</v>
      </c>
      <c r="G264" s="168" t="s">
        <v>4623</v>
      </c>
      <c r="H264" s="292" t="s">
        <v>4623</v>
      </c>
      <c r="I264" s="293" t="s">
        <v>4623</v>
      </c>
      <c r="J264" s="293" t="s">
        <v>4623</v>
      </c>
      <c r="K264" s="290" t="s">
        <v>4623</v>
      </c>
      <c r="L264" s="290" t="s">
        <v>4623</v>
      </c>
      <c r="M264" s="290" t="s">
        <v>4623</v>
      </c>
      <c r="N264" s="290" t="s">
        <v>4623</v>
      </c>
      <c r="O264" s="290" t="s">
        <v>4623</v>
      </c>
      <c r="P264" s="290" t="s">
        <v>999</v>
      </c>
      <c r="Q264" s="291" t="s">
        <v>4623</v>
      </c>
      <c r="R264" s="276"/>
      <c r="S264" s="277">
        <f>IF(OR(C264="",C264=T$4),NA(),MATCH($B264&amp;$C264,'Smelter Reference List'!$J:$J,0))</f>
        <v>222</v>
      </c>
      <c r="T264" s="278"/>
      <c r="U264" s="278"/>
      <c r="V264" s="278"/>
      <c r="W264" s="278"/>
    </row>
    <row r="265" spans="1:23" s="269" customFormat="1" ht="20.25">
      <c r="A265" s="267"/>
      <c r="B265" s="275" t="s">
        <v>2436</v>
      </c>
      <c r="C265" s="275" t="s">
        <v>3831</v>
      </c>
      <c r="D265" s="168" t="s">
        <v>5101</v>
      </c>
      <c r="E265" s="168" t="s">
        <v>2294</v>
      </c>
      <c r="F265" s="168" t="s">
        <v>4623</v>
      </c>
      <c r="G265" s="168" t="s">
        <v>4623</v>
      </c>
      <c r="H265" s="292" t="s">
        <v>4623</v>
      </c>
      <c r="I265" s="293" t="s">
        <v>4623</v>
      </c>
      <c r="J265" s="293" t="s">
        <v>4623</v>
      </c>
      <c r="K265" s="290" t="s">
        <v>4623</v>
      </c>
      <c r="L265" s="290" t="s">
        <v>4623</v>
      </c>
      <c r="M265" s="290" t="s">
        <v>4623</v>
      </c>
      <c r="N265" s="290" t="s">
        <v>4623</v>
      </c>
      <c r="O265" s="290" t="s">
        <v>4623</v>
      </c>
      <c r="P265" s="290" t="s">
        <v>999</v>
      </c>
      <c r="Q265" s="291" t="s">
        <v>4623</v>
      </c>
      <c r="R265" s="276"/>
      <c r="S265" s="277">
        <f>IF(OR(C265="",C265=T$4),NA(),MATCH($B265&amp;$C265,'Smelter Reference List'!$J:$J,0))</f>
        <v>222</v>
      </c>
      <c r="T265" s="278"/>
      <c r="U265" s="278"/>
      <c r="V265" s="278"/>
      <c r="W265" s="278"/>
    </row>
    <row r="266" spans="1:23" s="269" customFormat="1" ht="20.25">
      <c r="A266" s="267"/>
      <c r="B266" s="275" t="s">
        <v>2436</v>
      </c>
      <c r="C266" s="275" t="s">
        <v>3831</v>
      </c>
      <c r="D266" s="168" t="s">
        <v>5102</v>
      </c>
      <c r="E266" s="168" t="s">
        <v>2294</v>
      </c>
      <c r="F266" s="168" t="s">
        <v>4623</v>
      </c>
      <c r="G266" s="168" t="s">
        <v>4623</v>
      </c>
      <c r="H266" s="292" t="s">
        <v>4623</v>
      </c>
      <c r="I266" s="293" t="s">
        <v>4623</v>
      </c>
      <c r="J266" s="293" t="s">
        <v>4623</v>
      </c>
      <c r="K266" s="290" t="s">
        <v>4623</v>
      </c>
      <c r="L266" s="290" t="s">
        <v>4623</v>
      </c>
      <c r="M266" s="290" t="s">
        <v>4623</v>
      </c>
      <c r="N266" s="290" t="s">
        <v>4623</v>
      </c>
      <c r="O266" s="290" t="s">
        <v>4623</v>
      </c>
      <c r="P266" s="290" t="s">
        <v>999</v>
      </c>
      <c r="Q266" s="291" t="s">
        <v>4623</v>
      </c>
      <c r="R266" s="276"/>
      <c r="S266" s="277">
        <f>IF(OR(C266="",C266=T$4),NA(),MATCH($B266&amp;$C266,'Smelter Reference List'!$J:$J,0))</f>
        <v>222</v>
      </c>
      <c r="T266" s="278"/>
      <c r="U266" s="278"/>
      <c r="V266" s="278"/>
      <c r="W266" s="278"/>
    </row>
    <row r="267" spans="1:23" s="269" customFormat="1" ht="20.25">
      <c r="A267" s="267"/>
      <c r="B267" s="275" t="s">
        <v>2436</v>
      </c>
      <c r="C267" s="275" t="s">
        <v>3831</v>
      </c>
      <c r="D267" s="168" t="s">
        <v>2796</v>
      </c>
      <c r="E267" s="168" t="s">
        <v>2294</v>
      </c>
      <c r="F267" s="168" t="s">
        <v>4623</v>
      </c>
      <c r="G267" s="168" t="s">
        <v>4623</v>
      </c>
      <c r="H267" s="292" t="s">
        <v>5103</v>
      </c>
      <c r="I267" s="293" t="s">
        <v>5104</v>
      </c>
      <c r="J267" s="293" t="s">
        <v>5105</v>
      </c>
      <c r="K267" s="290" t="s">
        <v>4623</v>
      </c>
      <c r="L267" s="290" t="s">
        <v>5106</v>
      </c>
      <c r="M267" s="290" t="s">
        <v>4623</v>
      </c>
      <c r="N267" s="290" t="s">
        <v>5107</v>
      </c>
      <c r="O267" s="290" t="s">
        <v>4667</v>
      </c>
      <c r="P267" s="290" t="s">
        <v>999</v>
      </c>
      <c r="Q267" s="291" t="s">
        <v>4623</v>
      </c>
      <c r="R267" s="276"/>
      <c r="S267" s="277">
        <f>IF(OR(C267="",C267=T$4),NA(),MATCH($B267&amp;$C267,'Smelter Reference List'!$J:$J,0))</f>
        <v>222</v>
      </c>
      <c r="T267" s="278"/>
      <c r="U267" s="278"/>
      <c r="V267" s="278"/>
      <c r="W267" s="278"/>
    </row>
    <row r="268" spans="1:23" s="269" customFormat="1" ht="20.25">
      <c r="A268" s="267"/>
      <c r="B268" s="275" t="s">
        <v>2436</v>
      </c>
      <c r="C268" s="275" t="s">
        <v>3831</v>
      </c>
      <c r="D268" s="168" t="s">
        <v>5108</v>
      </c>
      <c r="E268" s="168" t="s">
        <v>2294</v>
      </c>
      <c r="F268" s="168" t="s">
        <v>4623</v>
      </c>
      <c r="G268" s="168" t="s">
        <v>4623</v>
      </c>
      <c r="H268" s="292" t="s">
        <v>4623</v>
      </c>
      <c r="I268" s="293" t="s">
        <v>4623</v>
      </c>
      <c r="J268" s="293" t="s">
        <v>4623</v>
      </c>
      <c r="K268" s="290" t="s">
        <v>4623</v>
      </c>
      <c r="L268" s="290" t="s">
        <v>4623</v>
      </c>
      <c r="M268" s="290" t="s">
        <v>4623</v>
      </c>
      <c r="N268" s="290" t="s">
        <v>4623</v>
      </c>
      <c r="O268" s="290" t="s">
        <v>4623</v>
      </c>
      <c r="P268" s="290" t="s">
        <v>999</v>
      </c>
      <c r="Q268" s="291" t="s">
        <v>4623</v>
      </c>
      <c r="R268" s="276"/>
      <c r="S268" s="277">
        <f>IF(OR(C268="",C268=T$4),NA(),MATCH($B268&amp;$C268,'Smelter Reference List'!$J:$J,0))</f>
        <v>222</v>
      </c>
      <c r="T268" s="278"/>
      <c r="U268" s="278"/>
      <c r="V268" s="278"/>
      <c r="W268" s="278"/>
    </row>
    <row r="269" spans="1:23" s="269" customFormat="1" ht="20.25">
      <c r="A269" s="267"/>
      <c r="B269" s="275" t="s">
        <v>2436</v>
      </c>
      <c r="C269" s="275" t="s">
        <v>3831</v>
      </c>
      <c r="D269" s="168" t="s">
        <v>5109</v>
      </c>
      <c r="E269" s="168" t="s">
        <v>2294</v>
      </c>
      <c r="F269" s="168" t="s">
        <v>4623</v>
      </c>
      <c r="G269" s="168" t="s">
        <v>4623</v>
      </c>
      <c r="H269" s="292" t="s">
        <v>4623</v>
      </c>
      <c r="I269" s="293" t="s">
        <v>4623</v>
      </c>
      <c r="J269" s="293" t="s">
        <v>4623</v>
      </c>
      <c r="K269" s="290" t="s">
        <v>4623</v>
      </c>
      <c r="L269" s="290" t="s">
        <v>4623</v>
      </c>
      <c r="M269" s="290" t="s">
        <v>4623</v>
      </c>
      <c r="N269" s="290" t="s">
        <v>4623</v>
      </c>
      <c r="O269" s="290" t="s">
        <v>4623</v>
      </c>
      <c r="P269" s="290" t="s">
        <v>999</v>
      </c>
      <c r="Q269" s="291" t="s">
        <v>4623</v>
      </c>
      <c r="R269" s="276"/>
      <c r="S269" s="277">
        <f>IF(OR(C269="",C269=T$4),NA(),MATCH($B269&amp;$C269,'Smelter Reference List'!$J:$J,0))</f>
        <v>222</v>
      </c>
      <c r="T269" s="278"/>
      <c r="U269" s="278"/>
      <c r="V269" s="278"/>
      <c r="W269" s="278"/>
    </row>
    <row r="270" spans="1:23" s="269" customFormat="1" ht="20.25">
      <c r="A270" s="267"/>
      <c r="B270" s="275" t="s">
        <v>2436</v>
      </c>
      <c r="C270" s="275" t="s">
        <v>3831</v>
      </c>
      <c r="D270" s="168" t="s">
        <v>5110</v>
      </c>
      <c r="E270" s="168" t="s">
        <v>2294</v>
      </c>
      <c r="F270" s="168" t="s">
        <v>4623</v>
      </c>
      <c r="G270" s="168" t="s">
        <v>4623</v>
      </c>
      <c r="H270" s="292" t="s">
        <v>5111</v>
      </c>
      <c r="I270" s="293" t="s">
        <v>5112</v>
      </c>
      <c r="J270" s="293" t="s">
        <v>4956</v>
      </c>
      <c r="K270" s="290" t="s">
        <v>4623</v>
      </c>
      <c r="L270" s="290" t="s">
        <v>4623</v>
      </c>
      <c r="M270" s="290" t="s">
        <v>4623</v>
      </c>
      <c r="N270" s="290" t="s">
        <v>4623</v>
      </c>
      <c r="O270" s="290" t="s">
        <v>4623</v>
      </c>
      <c r="P270" s="290" t="s">
        <v>999</v>
      </c>
      <c r="Q270" s="291" t="s">
        <v>4623</v>
      </c>
      <c r="R270" s="276"/>
      <c r="S270" s="277">
        <f>IF(OR(C270="",C270=T$4),NA(),MATCH($B270&amp;$C270,'Smelter Reference List'!$J:$J,0))</f>
        <v>222</v>
      </c>
      <c r="T270" s="278"/>
      <c r="U270" s="278"/>
      <c r="V270" s="278"/>
      <c r="W270" s="278"/>
    </row>
    <row r="271" spans="1:23" s="269" customFormat="1" ht="20.25">
      <c r="A271" s="267"/>
      <c r="B271" s="275" t="s">
        <v>2436</v>
      </c>
      <c r="C271" s="275" t="s">
        <v>3831</v>
      </c>
      <c r="D271" s="168" t="s">
        <v>5113</v>
      </c>
      <c r="E271" s="168" t="s">
        <v>2294</v>
      </c>
      <c r="F271" s="168" t="s">
        <v>4623</v>
      </c>
      <c r="G271" s="168" t="s">
        <v>4623</v>
      </c>
      <c r="H271" s="292" t="s">
        <v>4623</v>
      </c>
      <c r="I271" s="293" t="s">
        <v>4623</v>
      </c>
      <c r="J271" s="293" t="s">
        <v>4623</v>
      </c>
      <c r="K271" s="290" t="s">
        <v>4623</v>
      </c>
      <c r="L271" s="290" t="s">
        <v>4623</v>
      </c>
      <c r="M271" s="290" t="s">
        <v>4623</v>
      </c>
      <c r="N271" s="290" t="s">
        <v>4623</v>
      </c>
      <c r="O271" s="290" t="s">
        <v>4623</v>
      </c>
      <c r="P271" s="290" t="s">
        <v>999</v>
      </c>
      <c r="Q271" s="291" t="s">
        <v>4623</v>
      </c>
      <c r="R271" s="276"/>
      <c r="S271" s="277">
        <f>IF(OR(C271="",C271=T$4),NA(),MATCH($B271&amp;$C271,'Smelter Reference List'!$J:$J,0))</f>
        <v>222</v>
      </c>
      <c r="T271" s="278"/>
      <c r="U271" s="278"/>
      <c r="V271" s="278"/>
      <c r="W271" s="278"/>
    </row>
    <row r="272" spans="1:23" s="269" customFormat="1" ht="20.25">
      <c r="A272" s="267"/>
      <c r="B272" s="275" t="s">
        <v>2436</v>
      </c>
      <c r="C272" s="275" t="s">
        <v>3831</v>
      </c>
      <c r="D272" s="168" t="s">
        <v>5114</v>
      </c>
      <c r="E272" s="168" t="s">
        <v>2294</v>
      </c>
      <c r="F272" s="168" t="s">
        <v>4623</v>
      </c>
      <c r="G272" s="168" t="s">
        <v>4623</v>
      </c>
      <c r="H272" s="292" t="s">
        <v>4623</v>
      </c>
      <c r="I272" s="293" t="s">
        <v>4623</v>
      </c>
      <c r="J272" s="293" t="s">
        <v>4623</v>
      </c>
      <c r="K272" s="290" t="s">
        <v>4623</v>
      </c>
      <c r="L272" s="290" t="s">
        <v>4623</v>
      </c>
      <c r="M272" s="290" t="s">
        <v>4623</v>
      </c>
      <c r="N272" s="290" t="s">
        <v>4623</v>
      </c>
      <c r="O272" s="290" t="s">
        <v>4623</v>
      </c>
      <c r="P272" s="290" t="s">
        <v>999</v>
      </c>
      <c r="Q272" s="291" t="s">
        <v>4623</v>
      </c>
      <c r="R272" s="276"/>
      <c r="S272" s="277">
        <f>IF(OR(C272="",C272=T$4),NA(),MATCH($B272&amp;$C272,'Smelter Reference List'!$J:$J,0))</f>
        <v>222</v>
      </c>
      <c r="T272" s="278"/>
      <c r="U272" s="278"/>
      <c r="V272" s="278"/>
      <c r="W272" s="278"/>
    </row>
    <row r="273" spans="1:23" s="269" customFormat="1" ht="20.25">
      <c r="A273" s="267"/>
      <c r="B273" s="275" t="s">
        <v>2436</v>
      </c>
      <c r="C273" s="275" t="s">
        <v>3831</v>
      </c>
      <c r="D273" s="168" t="s">
        <v>4567</v>
      </c>
      <c r="E273" s="168" t="s">
        <v>2294</v>
      </c>
      <c r="F273" s="168" t="s">
        <v>4623</v>
      </c>
      <c r="G273" s="168" t="s">
        <v>4623</v>
      </c>
      <c r="H273" s="292" t="s">
        <v>4623</v>
      </c>
      <c r="I273" s="293" t="s">
        <v>4623</v>
      </c>
      <c r="J273" s="293" t="s">
        <v>4623</v>
      </c>
      <c r="K273" s="290" t="s">
        <v>4623</v>
      </c>
      <c r="L273" s="290" t="s">
        <v>4623</v>
      </c>
      <c r="M273" s="290" t="s">
        <v>4623</v>
      </c>
      <c r="N273" s="290" t="s">
        <v>4623</v>
      </c>
      <c r="O273" s="290" t="s">
        <v>4623</v>
      </c>
      <c r="P273" s="290" t="s">
        <v>999</v>
      </c>
      <c r="Q273" s="291" t="s">
        <v>4623</v>
      </c>
      <c r="R273" s="276"/>
      <c r="S273" s="277">
        <f>IF(OR(C273="",C273=T$4),NA(),MATCH($B273&amp;$C273,'Smelter Reference List'!$J:$J,0))</f>
        <v>222</v>
      </c>
      <c r="T273" s="278"/>
      <c r="U273" s="278"/>
      <c r="V273" s="278"/>
      <c r="W273" s="278"/>
    </row>
    <row r="274" spans="1:23" s="269" customFormat="1" ht="20.25">
      <c r="A274" s="267"/>
      <c r="B274" s="275" t="s">
        <v>2436</v>
      </c>
      <c r="C274" s="275" t="s">
        <v>3831</v>
      </c>
      <c r="D274" s="168" t="s">
        <v>5115</v>
      </c>
      <c r="E274" s="168" t="s">
        <v>2294</v>
      </c>
      <c r="F274" s="168" t="s">
        <v>4623</v>
      </c>
      <c r="G274" s="168" t="s">
        <v>4623</v>
      </c>
      <c r="H274" s="292" t="s">
        <v>5116</v>
      </c>
      <c r="I274" s="293" t="s">
        <v>5117</v>
      </c>
      <c r="J274" s="293" t="s">
        <v>3408</v>
      </c>
      <c r="K274" s="290" t="s">
        <v>4623</v>
      </c>
      <c r="L274" s="290" t="s">
        <v>5000</v>
      </c>
      <c r="M274" s="290" t="s">
        <v>5001</v>
      </c>
      <c r="N274" s="290" t="s">
        <v>3618</v>
      </c>
      <c r="O274" s="290" t="s">
        <v>4667</v>
      </c>
      <c r="P274" s="290" t="s">
        <v>999</v>
      </c>
      <c r="Q274" s="291" t="s">
        <v>4623</v>
      </c>
      <c r="R274" s="276"/>
      <c r="S274" s="277">
        <f>IF(OR(C274="",C274=T$4),NA(),MATCH($B274&amp;$C274,'Smelter Reference List'!$J:$J,0))</f>
        <v>222</v>
      </c>
      <c r="T274" s="278"/>
      <c r="U274" s="278"/>
      <c r="V274" s="278"/>
      <c r="W274" s="278"/>
    </row>
    <row r="275" spans="1:23" s="269" customFormat="1" ht="20.25">
      <c r="A275" s="267"/>
      <c r="B275" s="275" t="s">
        <v>2436</v>
      </c>
      <c r="C275" s="275" t="s">
        <v>3831</v>
      </c>
      <c r="D275" s="168" t="s">
        <v>5118</v>
      </c>
      <c r="E275" s="168" t="s">
        <v>2294</v>
      </c>
      <c r="F275" s="168" t="s">
        <v>4623</v>
      </c>
      <c r="G275" s="168" t="s">
        <v>4623</v>
      </c>
      <c r="H275" s="292" t="s">
        <v>4623</v>
      </c>
      <c r="I275" s="293" t="s">
        <v>5119</v>
      </c>
      <c r="J275" s="293" t="s">
        <v>3408</v>
      </c>
      <c r="K275" s="290" t="s">
        <v>4623</v>
      </c>
      <c r="L275" s="290" t="s">
        <v>5120</v>
      </c>
      <c r="M275" s="290" t="s">
        <v>4623</v>
      </c>
      <c r="N275" s="290" t="s">
        <v>4623</v>
      </c>
      <c r="O275" s="290" t="s">
        <v>4623</v>
      </c>
      <c r="P275" s="290" t="s">
        <v>999</v>
      </c>
      <c r="Q275" s="291" t="s">
        <v>4623</v>
      </c>
      <c r="R275" s="276"/>
      <c r="S275" s="277">
        <f>IF(OR(C275="",C275=T$4),NA(),MATCH($B275&amp;$C275,'Smelter Reference List'!$J:$J,0))</f>
        <v>222</v>
      </c>
      <c r="T275" s="278"/>
      <c r="U275" s="278"/>
      <c r="V275" s="278"/>
      <c r="W275" s="278"/>
    </row>
    <row r="276" spans="1:23" s="269" customFormat="1" ht="20.25">
      <c r="A276" s="267"/>
      <c r="B276" s="275" t="s">
        <v>2436</v>
      </c>
      <c r="C276" s="275" t="s">
        <v>3831</v>
      </c>
      <c r="D276" s="168" t="s">
        <v>5121</v>
      </c>
      <c r="E276" s="168" t="s">
        <v>2294</v>
      </c>
      <c r="F276" s="168" t="s">
        <v>4623</v>
      </c>
      <c r="G276" s="168" t="s">
        <v>4623</v>
      </c>
      <c r="H276" s="292" t="s">
        <v>4623</v>
      </c>
      <c r="I276" s="293" t="s">
        <v>4623</v>
      </c>
      <c r="J276" s="293" t="s">
        <v>4623</v>
      </c>
      <c r="K276" s="290" t="s">
        <v>4623</v>
      </c>
      <c r="L276" s="290" t="s">
        <v>4623</v>
      </c>
      <c r="M276" s="290" t="s">
        <v>4623</v>
      </c>
      <c r="N276" s="290" t="s">
        <v>4623</v>
      </c>
      <c r="O276" s="290" t="s">
        <v>4623</v>
      </c>
      <c r="P276" s="290" t="s">
        <v>999</v>
      </c>
      <c r="Q276" s="291" t="s">
        <v>4623</v>
      </c>
      <c r="R276" s="276"/>
      <c r="S276" s="277">
        <f>IF(OR(C276="",C276=T$4),NA(),MATCH($B276&amp;$C276,'Smelter Reference List'!$J:$J,0))</f>
        <v>222</v>
      </c>
      <c r="T276" s="278"/>
      <c r="U276" s="278"/>
      <c r="V276" s="278"/>
      <c r="W276" s="278"/>
    </row>
    <row r="277" spans="1:23" s="269" customFormat="1" ht="20.25">
      <c r="A277" s="267"/>
      <c r="B277" s="275" t="s">
        <v>2436</v>
      </c>
      <c r="C277" s="275" t="s">
        <v>3831</v>
      </c>
      <c r="D277" s="168" t="s">
        <v>5122</v>
      </c>
      <c r="E277" s="168" t="s">
        <v>2294</v>
      </c>
      <c r="F277" s="168" t="s">
        <v>4623</v>
      </c>
      <c r="G277" s="168" t="s">
        <v>4623</v>
      </c>
      <c r="H277" s="292" t="s">
        <v>4623</v>
      </c>
      <c r="I277" s="293" t="s">
        <v>4623</v>
      </c>
      <c r="J277" s="293" t="s">
        <v>4623</v>
      </c>
      <c r="K277" s="290" t="s">
        <v>4623</v>
      </c>
      <c r="L277" s="290" t="s">
        <v>4623</v>
      </c>
      <c r="M277" s="290" t="s">
        <v>4623</v>
      </c>
      <c r="N277" s="290" t="s">
        <v>4623</v>
      </c>
      <c r="O277" s="290" t="s">
        <v>4623</v>
      </c>
      <c r="P277" s="290" t="s">
        <v>999</v>
      </c>
      <c r="Q277" s="291" t="s">
        <v>4623</v>
      </c>
      <c r="R277" s="276"/>
      <c r="S277" s="277">
        <f>IF(OR(C277="",C277=T$4),NA(),MATCH($B277&amp;$C277,'Smelter Reference List'!$J:$J,0))</f>
        <v>222</v>
      </c>
      <c r="T277" s="278"/>
      <c r="U277" s="278"/>
      <c r="V277" s="278"/>
      <c r="W277" s="278"/>
    </row>
    <row r="278" spans="1:23" s="269" customFormat="1" ht="20.25">
      <c r="A278" s="267"/>
      <c r="B278" s="275" t="s">
        <v>2436</v>
      </c>
      <c r="C278" s="275" t="s">
        <v>3831</v>
      </c>
      <c r="D278" s="168" t="s">
        <v>5123</v>
      </c>
      <c r="E278" s="168" t="s">
        <v>2294</v>
      </c>
      <c r="F278" s="168" t="s">
        <v>4623</v>
      </c>
      <c r="G278" s="168" t="s">
        <v>4623</v>
      </c>
      <c r="H278" s="292" t="s">
        <v>4623</v>
      </c>
      <c r="I278" s="293" t="s">
        <v>4623</v>
      </c>
      <c r="J278" s="293" t="s">
        <v>4623</v>
      </c>
      <c r="K278" s="290" t="s">
        <v>4623</v>
      </c>
      <c r="L278" s="290" t="s">
        <v>4623</v>
      </c>
      <c r="M278" s="290" t="s">
        <v>4623</v>
      </c>
      <c r="N278" s="290" t="s">
        <v>4623</v>
      </c>
      <c r="O278" s="290" t="s">
        <v>4623</v>
      </c>
      <c r="P278" s="290" t="s">
        <v>999</v>
      </c>
      <c r="Q278" s="291" t="s">
        <v>4623</v>
      </c>
      <c r="R278" s="276"/>
      <c r="S278" s="277">
        <f>IF(OR(C278="",C278=T$4),NA(),MATCH($B278&amp;$C278,'Smelter Reference List'!$J:$J,0))</f>
        <v>222</v>
      </c>
      <c r="T278" s="278"/>
      <c r="U278" s="278"/>
      <c r="V278" s="278"/>
      <c r="W278" s="278"/>
    </row>
    <row r="279" spans="1:23" s="269" customFormat="1" ht="20.25">
      <c r="A279" s="267"/>
      <c r="B279" s="275" t="s">
        <v>2436</v>
      </c>
      <c r="C279" s="275" t="s">
        <v>3831</v>
      </c>
      <c r="D279" s="168" t="s">
        <v>5124</v>
      </c>
      <c r="E279" s="168" t="s">
        <v>2294</v>
      </c>
      <c r="F279" s="168" t="s">
        <v>4623</v>
      </c>
      <c r="G279" s="168" t="s">
        <v>4623</v>
      </c>
      <c r="H279" s="292" t="s">
        <v>4623</v>
      </c>
      <c r="I279" s="293" t="s">
        <v>4623</v>
      </c>
      <c r="J279" s="293" t="s">
        <v>4623</v>
      </c>
      <c r="K279" s="290" t="s">
        <v>4623</v>
      </c>
      <c r="L279" s="290" t="s">
        <v>4623</v>
      </c>
      <c r="M279" s="290" t="s">
        <v>4623</v>
      </c>
      <c r="N279" s="290" t="s">
        <v>4623</v>
      </c>
      <c r="O279" s="290" t="s">
        <v>4623</v>
      </c>
      <c r="P279" s="290" t="s">
        <v>999</v>
      </c>
      <c r="Q279" s="291" t="s">
        <v>4623</v>
      </c>
      <c r="R279" s="276"/>
      <c r="S279" s="277">
        <f>IF(OR(C279="",C279=T$4),NA(),MATCH($B279&amp;$C279,'Smelter Reference List'!$J:$J,0))</f>
        <v>222</v>
      </c>
      <c r="T279" s="278"/>
      <c r="U279" s="278"/>
      <c r="V279" s="278"/>
      <c r="W279" s="278"/>
    </row>
    <row r="280" spans="1:23" s="269" customFormat="1" ht="20.25">
      <c r="A280" s="267"/>
      <c r="B280" s="275" t="s">
        <v>2436</v>
      </c>
      <c r="C280" s="275" t="s">
        <v>3831</v>
      </c>
      <c r="D280" s="168" t="s">
        <v>5125</v>
      </c>
      <c r="E280" s="168" t="s">
        <v>2294</v>
      </c>
      <c r="F280" s="168" t="s">
        <v>4623</v>
      </c>
      <c r="G280" s="168" t="s">
        <v>4623</v>
      </c>
      <c r="H280" s="292" t="s">
        <v>4623</v>
      </c>
      <c r="I280" s="293" t="s">
        <v>4623</v>
      </c>
      <c r="J280" s="293" t="s">
        <v>4623</v>
      </c>
      <c r="K280" s="290" t="s">
        <v>4623</v>
      </c>
      <c r="L280" s="290" t="s">
        <v>4623</v>
      </c>
      <c r="M280" s="290" t="s">
        <v>4623</v>
      </c>
      <c r="N280" s="290" t="s">
        <v>4623</v>
      </c>
      <c r="O280" s="290" t="s">
        <v>4623</v>
      </c>
      <c r="P280" s="290" t="s">
        <v>999</v>
      </c>
      <c r="Q280" s="291" t="s">
        <v>4623</v>
      </c>
      <c r="R280" s="276"/>
      <c r="S280" s="277">
        <f>IF(OR(C280="",C280=T$4),NA(),MATCH($B280&amp;$C280,'Smelter Reference List'!$J:$J,0))</f>
        <v>222</v>
      </c>
      <c r="T280" s="278"/>
      <c r="U280" s="278"/>
      <c r="V280" s="278"/>
      <c r="W280" s="278"/>
    </row>
    <row r="281" spans="1:23" s="269" customFormat="1" ht="20.25">
      <c r="A281" s="267"/>
      <c r="B281" s="275" t="s">
        <v>2436</v>
      </c>
      <c r="C281" s="275" t="s">
        <v>3831</v>
      </c>
      <c r="D281" s="168" t="s">
        <v>5126</v>
      </c>
      <c r="E281" s="168" t="s">
        <v>2294</v>
      </c>
      <c r="F281" s="168" t="s">
        <v>4623</v>
      </c>
      <c r="G281" s="168" t="s">
        <v>4623</v>
      </c>
      <c r="H281" s="292" t="s">
        <v>3517</v>
      </c>
      <c r="I281" s="293" t="s">
        <v>4667</v>
      </c>
      <c r="J281" s="293" t="s">
        <v>4623</v>
      </c>
      <c r="K281" s="290" t="s">
        <v>4623</v>
      </c>
      <c r="L281" s="290" t="s">
        <v>4623</v>
      </c>
      <c r="M281" s="290" t="s">
        <v>4623</v>
      </c>
      <c r="N281" s="290" t="s">
        <v>4623</v>
      </c>
      <c r="O281" s="290" t="s">
        <v>4623</v>
      </c>
      <c r="P281" s="290" t="s">
        <v>999</v>
      </c>
      <c r="Q281" s="291" t="s">
        <v>4623</v>
      </c>
      <c r="R281" s="276"/>
      <c r="S281" s="277">
        <f>IF(OR(C281="",C281=T$4),NA(),MATCH($B281&amp;$C281,'Smelter Reference List'!$J:$J,0))</f>
        <v>222</v>
      </c>
      <c r="T281" s="278"/>
      <c r="U281" s="278"/>
      <c r="V281" s="278"/>
      <c r="W281" s="278"/>
    </row>
    <row r="282" spans="1:23" s="269" customFormat="1" ht="20.25">
      <c r="A282" s="267"/>
      <c r="B282" s="275" t="s">
        <v>2436</v>
      </c>
      <c r="C282" s="275" t="s">
        <v>3831</v>
      </c>
      <c r="D282" s="168" t="s">
        <v>5127</v>
      </c>
      <c r="E282" s="168" t="s">
        <v>2294</v>
      </c>
      <c r="F282" s="168" t="s">
        <v>4623</v>
      </c>
      <c r="G282" s="168" t="s">
        <v>4623</v>
      </c>
      <c r="H282" s="292" t="s">
        <v>5128</v>
      </c>
      <c r="I282" s="293" t="s">
        <v>5129</v>
      </c>
      <c r="J282" s="293" t="s">
        <v>5007</v>
      </c>
      <c r="K282" s="290" t="s">
        <v>4623</v>
      </c>
      <c r="L282" s="290" t="s">
        <v>5130</v>
      </c>
      <c r="M282" s="290" t="s">
        <v>5131</v>
      </c>
      <c r="N282" s="290" t="s">
        <v>4628</v>
      </c>
      <c r="O282" s="290" t="s">
        <v>4628</v>
      </c>
      <c r="P282" s="290" t="s">
        <v>999</v>
      </c>
      <c r="Q282" s="291" t="s">
        <v>4623</v>
      </c>
      <c r="R282" s="276"/>
      <c r="S282" s="277">
        <f>IF(OR(C282="",C282=T$4),NA(),MATCH($B282&amp;$C282,'Smelter Reference List'!$J:$J,0))</f>
        <v>222</v>
      </c>
      <c r="T282" s="278"/>
      <c r="U282" s="278"/>
      <c r="V282" s="278"/>
      <c r="W282" s="278"/>
    </row>
    <row r="283" spans="1:23" s="269" customFormat="1" ht="20.25">
      <c r="A283" s="267"/>
      <c r="B283" s="275" t="s">
        <v>2436</v>
      </c>
      <c r="C283" s="275" t="s">
        <v>3831</v>
      </c>
      <c r="D283" s="168" t="s">
        <v>1061</v>
      </c>
      <c r="E283" s="168" t="s">
        <v>2294</v>
      </c>
      <c r="F283" s="168" t="s">
        <v>4623</v>
      </c>
      <c r="G283" s="168" t="s">
        <v>4623</v>
      </c>
      <c r="H283" s="292" t="s">
        <v>4623</v>
      </c>
      <c r="I283" s="293" t="s">
        <v>4623</v>
      </c>
      <c r="J283" s="293" t="s">
        <v>4623</v>
      </c>
      <c r="K283" s="290" t="s">
        <v>4623</v>
      </c>
      <c r="L283" s="290" t="s">
        <v>4623</v>
      </c>
      <c r="M283" s="290" t="s">
        <v>4623</v>
      </c>
      <c r="N283" s="290" t="s">
        <v>4623</v>
      </c>
      <c r="O283" s="290" t="s">
        <v>4623</v>
      </c>
      <c r="P283" s="290" t="s">
        <v>999</v>
      </c>
      <c r="Q283" s="291" t="s">
        <v>4623</v>
      </c>
      <c r="R283" s="276"/>
      <c r="S283" s="277">
        <f>IF(OR(C283="",C283=T$4),NA(),MATCH($B283&amp;$C283,'Smelter Reference List'!$J:$J,0))</f>
        <v>222</v>
      </c>
      <c r="T283" s="278"/>
      <c r="U283" s="278"/>
      <c r="V283" s="278"/>
      <c r="W283" s="278"/>
    </row>
    <row r="284" spans="1:23" s="269" customFormat="1" ht="20.25">
      <c r="A284" s="267"/>
      <c r="B284" s="275" t="s">
        <v>2436</v>
      </c>
      <c r="C284" s="275" t="s">
        <v>3831</v>
      </c>
      <c r="D284" s="168" t="s">
        <v>5132</v>
      </c>
      <c r="E284" s="168" t="s">
        <v>2294</v>
      </c>
      <c r="F284" s="168" t="s">
        <v>4623</v>
      </c>
      <c r="G284" s="168" t="s">
        <v>4623</v>
      </c>
      <c r="H284" s="292" t="s">
        <v>4623</v>
      </c>
      <c r="I284" s="293" t="s">
        <v>4623</v>
      </c>
      <c r="J284" s="293" t="s">
        <v>4623</v>
      </c>
      <c r="K284" s="290" t="s">
        <v>4623</v>
      </c>
      <c r="L284" s="290" t="s">
        <v>4623</v>
      </c>
      <c r="M284" s="290" t="s">
        <v>4623</v>
      </c>
      <c r="N284" s="290" t="s">
        <v>4623</v>
      </c>
      <c r="O284" s="290" t="s">
        <v>4623</v>
      </c>
      <c r="P284" s="290" t="s">
        <v>999</v>
      </c>
      <c r="Q284" s="291" t="s">
        <v>4623</v>
      </c>
      <c r="R284" s="276"/>
      <c r="S284" s="277">
        <f>IF(OR(C284="",C284=T$4),NA(),MATCH($B284&amp;$C284,'Smelter Reference List'!$J:$J,0))</f>
        <v>222</v>
      </c>
      <c r="T284" s="278"/>
      <c r="U284" s="278"/>
      <c r="V284" s="278"/>
      <c r="W284" s="278"/>
    </row>
    <row r="285" spans="1:23" s="269" customFormat="1" ht="20.25">
      <c r="A285" s="267"/>
      <c r="B285" s="275" t="s">
        <v>2436</v>
      </c>
      <c r="C285" s="275" t="s">
        <v>3831</v>
      </c>
      <c r="D285" s="168" t="s">
        <v>5133</v>
      </c>
      <c r="E285" s="168" t="s">
        <v>2294</v>
      </c>
      <c r="F285" s="168" t="s">
        <v>4623</v>
      </c>
      <c r="G285" s="168" t="s">
        <v>4623</v>
      </c>
      <c r="H285" s="292" t="s">
        <v>4623</v>
      </c>
      <c r="I285" s="293" t="s">
        <v>4623</v>
      </c>
      <c r="J285" s="293" t="s">
        <v>4623</v>
      </c>
      <c r="K285" s="290" t="s">
        <v>4623</v>
      </c>
      <c r="L285" s="290" t="s">
        <v>4623</v>
      </c>
      <c r="M285" s="290" t="s">
        <v>4623</v>
      </c>
      <c r="N285" s="290" t="s">
        <v>4623</v>
      </c>
      <c r="O285" s="290" t="s">
        <v>4623</v>
      </c>
      <c r="P285" s="290" t="s">
        <v>999</v>
      </c>
      <c r="Q285" s="291" t="s">
        <v>4623</v>
      </c>
      <c r="R285" s="276"/>
      <c r="S285" s="277">
        <f>IF(OR(C285="",C285=T$4),NA(),MATCH($B285&amp;$C285,'Smelter Reference List'!$J:$J,0))</f>
        <v>222</v>
      </c>
      <c r="T285" s="278"/>
      <c r="U285" s="278"/>
      <c r="V285" s="278"/>
      <c r="W285" s="278"/>
    </row>
    <row r="286" spans="1:23" s="269" customFormat="1" ht="20.25">
      <c r="A286" s="267"/>
      <c r="B286" s="275" t="s">
        <v>2436</v>
      </c>
      <c r="C286" s="275" t="s">
        <v>3831</v>
      </c>
      <c r="D286" s="168" t="s">
        <v>5134</v>
      </c>
      <c r="E286" s="168" t="s">
        <v>2294</v>
      </c>
      <c r="F286" s="168" t="s">
        <v>4623</v>
      </c>
      <c r="G286" s="168" t="s">
        <v>4623</v>
      </c>
      <c r="H286" s="292" t="s">
        <v>4623</v>
      </c>
      <c r="I286" s="293" t="s">
        <v>4623</v>
      </c>
      <c r="J286" s="293" t="s">
        <v>4623</v>
      </c>
      <c r="K286" s="290" t="s">
        <v>4623</v>
      </c>
      <c r="L286" s="290" t="s">
        <v>4623</v>
      </c>
      <c r="M286" s="290" t="s">
        <v>4623</v>
      </c>
      <c r="N286" s="290" t="s">
        <v>4623</v>
      </c>
      <c r="O286" s="290" t="s">
        <v>4623</v>
      </c>
      <c r="P286" s="290" t="s">
        <v>999</v>
      </c>
      <c r="Q286" s="291" t="s">
        <v>4623</v>
      </c>
      <c r="R286" s="276"/>
      <c r="S286" s="277">
        <f>IF(OR(C286="",C286=T$4),NA(),MATCH($B286&amp;$C286,'Smelter Reference List'!$J:$J,0))</f>
        <v>222</v>
      </c>
      <c r="T286" s="278"/>
      <c r="U286" s="278"/>
      <c r="V286" s="278"/>
      <c r="W286" s="278"/>
    </row>
    <row r="287" spans="1:23" s="269" customFormat="1" ht="20.25">
      <c r="A287" s="267"/>
      <c r="B287" s="275" t="s">
        <v>2436</v>
      </c>
      <c r="C287" s="275" t="s">
        <v>3831</v>
      </c>
      <c r="D287" s="168" t="s">
        <v>5135</v>
      </c>
      <c r="E287" s="168" t="s">
        <v>2294</v>
      </c>
      <c r="F287" s="168" t="s">
        <v>4623</v>
      </c>
      <c r="G287" s="168" t="s">
        <v>4623</v>
      </c>
      <c r="H287" s="292" t="s">
        <v>5136</v>
      </c>
      <c r="I287" s="293" t="s">
        <v>3474</v>
      </c>
      <c r="J287" s="293" t="s">
        <v>4623</v>
      </c>
      <c r="K287" s="290" t="s">
        <v>4623</v>
      </c>
      <c r="L287" s="290" t="s">
        <v>4623</v>
      </c>
      <c r="M287" s="290" t="s">
        <v>4623</v>
      </c>
      <c r="N287" s="290" t="s">
        <v>4623</v>
      </c>
      <c r="O287" s="290" t="s">
        <v>4623</v>
      </c>
      <c r="P287" s="290" t="s">
        <v>999</v>
      </c>
      <c r="Q287" s="291" t="s">
        <v>4623</v>
      </c>
      <c r="R287" s="276"/>
      <c r="S287" s="277">
        <f>IF(OR(C287="",C287=T$4),NA(),MATCH($B287&amp;$C287,'Smelter Reference List'!$J:$J,0))</f>
        <v>222</v>
      </c>
      <c r="T287" s="278"/>
      <c r="U287" s="278"/>
      <c r="V287" s="278"/>
      <c r="W287" s="278"/>
    </row>
    <row r="288" spans="1:23" s="269" customFormat="1" ht="20.25">
      <c r="A288" s="267"/>
      <c r="B288" s="275" t="s">
        <v>2436</v>
      </c>
      <c r="C288" s="275" t="s">
        <v>3831</v>
      </c>
      <c r="D288" s="168" t="s">
        <v>5137</v>
      </c>
      <c r="E288" s="168" t="s">
        <v>2294</v>
      </c>
      <c r="F288" s="168" t="s">
        <v>4623</v>
      </c>
      <c r="G288" s="168" t="s">
        <v>4623</v>
      </c>
      <c r="H288" s="292" t="s">
        <v>4623</v>
      </c>
      <c r="I288" s="293" t="s">
        <v>4623</v>
      </c>
      <c r="J288" s="293" t="s">
        <v>4623</v>
      </c>
      <c r="K288" s="290" t="s">
        <v>4623</v>
      </c>
      <c r="L288" s="290" t="s">
        <v>4623</v>
      </c>
      <c r="M288" s="290" t="s">
        <v>4623</v>
      </c>
      <c r="N288" s="290" t="s">
        <v>4623</v>
      </c>
      <c r="O288" s="290" t="s">
        <v>4623</v>
      </c>
      <c r="P288" s="290" t="s">
        <v>999</v>
      </c>
      <c r="Q288" s="291" t="s">
        <v>4623</v>
      </c>
      <c r="R288" s="276"/>
      <c r="S288" s="277">
        <f>IF(OR(C288="",C288=T$4),NA(),MATCH($B288&amp;$C288,'Smelter Reference List'!$J:$J,0))</f>
        <v>222</v>
      </c>
      <c r="T288" s="278"/>
      <c r="U288" s="278"/>
      <c r="V288" s="278"/>
      <c r="W288" s="278"/>
    </row>
    <row r="289" spans="1:23" s="269" customFormat="1" ht="20.25">
      <c r="A289" s="267"/>
      <c r="B289" s="275" t="s">
        <v>2436</v>
      </c>
      <c r="C289" s="275" t="s">
        <v>3831</v>
      </c>
      <c r="D289" s="168" t="s">
        <v>5138</v>
      </c>
      <c r="E289" s="168" t="s">
        <v>2294</v>
      </c>
      <c r="F289" s="168" t="s">
        <v>4623</v>
      </c>
      <c r="G289" s="168" t="s">
        <v>4623</v>
      </c>
      <c r="H289" s="292" t="s">
        <v>4623</v>
      </c>
      <c r="I289" s="293" t="s">
        <v>4623</v>
      </c>
      <c r="J289" s="293" t="s">
        <v>4623</v>
      </c>
      <c r="K289" s="290" t="s">
        <v>4623</v>
      </c>
      <c r="L289" s="290" t="s">
        <v>4623</v>
      </c>
      <c r="M289" s="290" t="s">
        <v>4623</v>
      </c>
      <c r="N289" s="290" t="s">
        <v>4623</v>
      </c>
      <c r="O289" s="290" t="s">
        <v>4623</v>
      </c>
      <c r="P289" s="290" t="s">
        <v>999</v>
      </c>
      <c r="Q289" s="291" t="s">
        <v>4623</v>
      </c>
      <c r="R289" s="276"/>
      <c r="S289" s="277">
        <f>IF(OR(C289="",C289=T$4),NA(),MATCH($B289&amp;$C289,'Smelter Reference List'!$J:$J,0))</f>
        <v>222</v>
      </c>
      <c r="T289" s="278"/>
      <c r="U289" s="278"/>
      <c r="V289" s="278"/>
      <c r="W289" s="278"/>
    </row>
    <row r="290" spans="1:23" s="269" customFormat="1" ht="20.25">
      <c r="A290" s="267"/>
      <c r="B290" s="275" t="s">
        <v>2436</v>
      </c>
      <c r="C290" s="275" t="s">
        <v>3831</v>
      </c>
      <c r="D290" s="168" t="s">
        <v>5139</v>
      </c>
      <c r="E290" s="168" t="s">
        <v>2294</v>
      </c>
      <c r="F290" s="168" t="s">
        <v>4623</v>
      </c>
      <c r="G290" s="168" t="s">
        <v>4623</v>
      </c>
      <c r="H290" s="292" t="s">
        <v>4623</v>
      </c>
      <c r="I290" s="293" t="s">
        <v>4623</v>
      </c>
      <c r="J290" s="293" t="s">
        <v>4623</v>
      </c>
      <c r="K290" s="290" t="s">
        <v>4623</v>
      </c>
      <c r="L290" s="290" t="s">
        <v>4623</v>
      </c>
      <c r="M290" s="290" t="s">
        <v>4623</v>
      </c>
      <c r="N290" s="290" t="s">
        <v>4623</v>
      </c>
      <c r="O290" s="290" t="s">
        <v>4623</v>
      </c>
      <c r="P290" s="290" t="s">
        <v>999</v>
      </c>
      <c r="Q290" s="291" t="s">
        <v>4623</v>
      </c>
      <c r="R290" s="276"/>
      <c r="S290" s="277">
        <f>IF(OR(C290="",C290=T$4),NA(),MATCH($B290&amp;$C290,'Smelter Reference List'!$J:$J,0))</f>
        <v>222</v>
      </c>
      <c r="T290" s="278"/>
      <c r="U290" s="278"/>
      <c r="V290" s="278"/>
      <c r="W290" s="278"/>
    </row>
    <row r="291" spans="1:23" s="269" customFormat="1" ht="20.25">
      <c r="A291" s="267"/>
      <c r="B291" s="275" t="s">
        <v>2436</v>
      </c>
      <c r="C291" s="275" t="s">
        <v>3831</v>
      </c>
      <c r="D291" s="168" t="s">
        <v>5140</v>
      </c>
      <c r="E291" s="168" t="s">
        <v>2294</v>
      </c>
      <c r="F291" s="168" t="s">
        <v>4623</v>
      </c>
      <c r="G291" s="168" t="s">
        <v>4623</v>
      </c>
      <c r="H291" s="292" t="s">
        <v>4623</v>
      </c>
      <c r="I291" s="293" t="s">
        <v>4623</v>
      </c>
      <c r="J291" s="293" t="s">
        <v>4623</v>
      </c>
      <c r="K291" s="290" t="s">
        <v>4623</v>
      </c>
      <c r="L291" s="290" t="s">
        <v>4623</v>
      </c>
      <c r="M291" s="290" t="s">
        <v>4623</v>
      </c>
      <c r="N291" s="290" t="s">
        <v>4623</v>
      </c>
      <c r="O291" s="290" t="s">
        <v>4623</v>
      </c>
      <c r="P291" s="290" t="s">
        <v>999</v>
      </c>
      <c r="Q291" s="291" t="s">
        <v>4623</v>
      </c>
      <c r="R291" s="276"/>
      <c r="S291" s="277">
        <f>IF(OR(C291="",C291=T$4),NA(),MATCH($B291&amp;$C291,'Smelter Reference List'!$J:$J,0))</f>
        <v>222</v>
      </c>
      <c r="T291" s="278"/>
      <c r="U291" s="278"/>
      <c r="V291" s="278"/>
      <c r="W291" s="278"/>
    </row>
    <row r="292" spans="1:23" s="269" customFormat="1" ht="20.25">
      <c r="A292" s="267"/>
      <c r="B292" s="275" t="s">
        <v>2436</v>
      </c>
      <c r="C292" s="275" t="s">
        <v>3831</v>
      </c>
      <c r="D292" s="168" t="s">
        <v>5141</v>
      </c>
      <c r="E292" s="168" t="s">
        <v>2294</v>
      </c>
      <c r="F292" s="168" t="s">
        <v>4623</v>
      </c>
      <c r="G292" s="168" t="s">
        <v>4623</v>
      </c>
      <c r="H292" s="292" t="s">
        <v>4623</v>
      </c>
      <c r="I292" s="293" t="s">
        <v>4623</v>
      </c>
      <c r="J292" s="293" t="s">
        <v>4623</v>
      </c>
      <c r="K292" s="290" t="s">
        <v>4623</v>
      </c>
      <c r="L292" s="290" t="s">
        <v>4623</v>
      </c>
      <c r="M292" s="290" t="s">
        <v>4623</v>
      </c>
      <c r="N292" s="290" t="s">
        <v>4623</v>
      </c>
      <c r="O292" s="290" t="s">
        <v>4623</v>
      </c>
      <c r="P292" s="290" t="s">
        <v>999</v>
      </c>
      <c r="Q292" s="291" t="s">
        <v>4623</v>
      </c>
      <c r="R292" s="276"/>
      <c r="S292" s="277">
        <f>IF(OR(C292="",C292=T$4),NA(),MATCH($B292&amp;$C292,'Smelter Reference List'!$J:$J,0))</f>
        <v>222</v>
      </c>
      <c r="T292" s="278"/>
      <c r="U292" s="278"/>
      <c r="V292" s="278"/>
      <c r="W292" s="278"/>
    </row>
    <row r="293" spans="1:23" s="269" customFormat="1" ht="20.25">
      <c r="A293" s="267"/>
      <c r="B293" s="275" t="s">
        <v>2436</v>
      </c>
      <c r="C293" s="275" t="s">
        <v>3831</v>
      </c>
      <c r="D293" s="168" t="s">
        <v>5142</v>
      </c>
      <c r="E293" s="168" t="s">
        <v>2294</v>
      </c>
      <c r="F293" s="168" t="s">
        <v>4623</v>
      </c>
      <c r="G293" s="168" t="s">
        <v>4623</v>
      </c>
      <c r="H293" s="292" t="s">
        <v>4623</v>
      </c>
      <c r="I293" s="293" t="s">
        <v>5143</v>
      </c>
      <c r="J293" s="293" t="s">
        <v>4623</v>
      </c>
      <c r="K293" s="290" t="s">
        <v>4623</v>
      </c>
      <c r="L293" s="290" t="s">
        <v>4623</v>
      </c>
      <c r="M293" s="290" t="s">
        <v>4623</v>
      </c>
      <c r="N293" s="290" t="s">
        <v>4623</v>
      </c>
      <c r="O293" s="290" t="s">
        <v>4623</v>
      </c>
      <c r="P293" s="290" t="s">
        <v>999</v>
      </c>
      <c r="Q293" s="291" t="s">
        <v>4623</v>
      </c>
      <c r="R293" s="276"/>
      <c r="S293" s="277">
        <f>IF(OR(C293="",C293=T$4),NA(),MATCH($B293&amp;$C293,'Smelter Reference List'!$J:$J,0))</f>
        <v>222</v>
      </c>
      <c r="T293" s="278"/>
      <c r="U293" s="278"/>
      <c r="V293" s="278"/>
      <c r="W293" s="278"/>
    </row>
    <row r="294" spans="1:23" s="269" customFormat="1" ht="20.25">
      <c r="A294" s="267"/>
      <c r="B294" s="275" t="s">
        <v>2436</v>
      </c>
      <c r="C294" s="275" t="s">
        <v>3831</v>
      </c>
      <c r="D294" s="168" t="s">
        <v>5144</v>
      </c>
      <c r="E294" s="168" t="s">
        <v>2294</v>
      </c>
      <c r="F294" s="168" t="s">
        <v>4623</v>
      </c>
      <c r="G294" s="168" t="s">
        <v>4623</v>
      </c>
      <c r="H294" s="292" t="s">
        <v>5145</v>
      </c>
      <c r="I294" s="293" t="s">
        <v>5146</v>
      </c>
      <c r="J294" s="293" t="s">
        <v>5147</v>
      </c>
      <c r="K294" s="290" t="s">
        <v>4623</v>
      </c>
      <c r="L294" s="290" t="s">
        <v>5148</v>
      </c>
      <c r="M294" s="290" t="s">
        <v>5149</v>
      </c>
      <c r="N294" s="290" t="s">
        <v>5150</v>
      </c>
      <c r="O294" s="290" t="s">
        <v>5151</v>
      </c>
      <c r="P294" s="290" t="s">
        <v>999</v>
      </c>
      <c r="Q294" s="291" t="s">
        <v>4623</v>
      </c>
      <c r="R294" s="276"/>
      <c r="S294" s="277">
        <f>IF(OR(C294="",C294=T$4),NA(),MATCH($B294&amp;$C294,'Smelter Reference List'!$J:$J,0))</f>
        <v>222</v>
      </c>
      <c r="T294" s="278"/>
      <c r="U294" s="278"/>
      <c r="V294" s="278"/>
      <c r="W294" s="278"/>
    </row>
    <row r="295" spans="1:23" s="269" customFormat="1" ht="20.25">
      <c r="A295" s="267"/>
      <c r="B295" s="275" t="s">
        <v>2436</v>
      </c>
      <c r="C295" s="275" t="s">
        <v>3831</v>
      </c>
      <c r="D295" s="168" t="s">
        <v>5152</v>
      </c>
      <c r="E295" s="168" t="s">
        <v>2294</v>
      </c>
      <c r="F295" s="168" t="s">
        <v>4623</v>
      </c>
      <c r="G295" s="168" t="s">
        <v>4623</v>
      </c>
      <c r="H295" s="292" t="s">
        <v>4623</v>
      </c>
      <c r="I295" s="293" t="s">
        <v>4623</v>
      </c>
      <c r="J295" s="293" t="s">
        <v>4623</v>
      </c>
      <c r="K295" s="290" t="s">
        <v>4623</v>
      </c>
      <c r="L295" s="290" t="s">
        <v>4623</v>
      </c>
      <c r="M295" s="290" t="s">
        <v>4623</v>
      </c>
      <c r="N295" s="290" t="s">
        <v>4623</v>
      </c>
      <c r="O295" s="290" t="s">
        <v>4623</v>
      </c>
      <c r="P295" s="290" t="s">
        <v>999</v>
      </c>
      <c r="Q295" s="291" t="s">
        <v>4623</v>
      </c>
      <c r="R295" s="276"/>
      <c r="S295" s="277">
        <f>IF(OR(C295="",C295=T$4),NA(),MATCH($B295&amp;$C295,'Smelter Reference List'!$J:$J,0))</f>
        <v>222</v>
      </c>
      <c r="T295" s="278"/>
      <c r="U295" s="278"/>
      <c r="V295" s="278"/>
      <c r="W295" s="278"/>
    </row>
    <row r="296" spans="1:23" s="269" customFormat="1" ht="20.25">
      <c r="A296" s="267"/>
      <c r="B296" s="275" t="s">
        <v>2436</v>
      </c>
      <c r="C296" s="275" t="s">
        <v>3831</v>
      </c>
      <c r="D296" s="168" t="s">
        <v>5153</v>
      </c>
      <c r="E296" s="168" t="s">
        <v>2294</v>
      </c>
      <c r="F296" s="168" t="s">
        <v>4623</v>
      </c>
      <c r="G296" s="168" t="s">
        <v>4623</v>
      </c>
      <c r="H296" s="292" t="s">
        <v>4623</v>
      </c>
      <c r="I296" s="293" t="s">
        <v>4623</v>
      </c>
      <c r="J296" s="293" t="s">
        <v>4623</v>
      </c>
      <c r="K296" s="290" t="s">
        <v>4623</v>
      </c>
      <c r="L296" s="290" t="s">
        <v>4623</v>
      </c>
      <c r="M296" s="290" t="s">
        <v>4623</v>
      </c>
      <c r="N296" s="290" t="s">
        <v>4623</v>
      </c>
      <c r="O296" s="290" t="s">
        <v>4623</v>
      </c>
      <c r="P296" s="290" t="s">
        <v>999</v>
      </c>
      <c r="Q296" s="291" t="s">
        <v>4623</v>
      </c>
      <c r="R296" s="276"/>
      <c r="S296" s="277">
        <f>IF(OR(C296="",C296=T$4),NA(),MATCH($B296&amp;$C296,'Smelter Reference List'!$J:$J,0))</f>
        <v>222</v>
      </c>
      <c r="T296" s="278"/>
      <c r="U296" s="278"/>
      <c r="V296" s="278"/>
      <c r="W296" s="278"/>
    </row>
    <row r="297" spans="1:23" s="269" customFormat="1" ht="20.25">
      <c r="A297" s="267"/>
      <c r="B297" s="275" t="s">
        <v>2436</v>
      </c>
      <c r="C297" s="275" t="s">
        <v>3831</v>
      </c>
      <c r="D297" s="168" t="s">
        <v>5154</v>
      </c>
      <c r="E297" s="168" t="s">
        <v>2294</v>
      </c>
      <c r="F297" s="168" t="s">
        <v>4623</v>
      </c>
      <c r="G297" s="168" t="s">
        <v>4623</v>
      </c>
      <c r="H297" s="292" t="s">
        <v>4623</v>
      </c>
      <c r="I297" s="293" t="s">
        <v>4623</v>
      </c>
      <c r="J297" s="293" t="s">
        <v>4623</v>
      </c>
      <c r="K297" s="290" t="s">
        <v>4623</v>
      </c>
      <c r="L297" s="290" t="s">
        <v>4623</v>
      </c>
      <c r="M297" s="290" t="s">
        <v>4623</v>
      </c>
      <c r="N297" s="290" t="s">
        <v>4623</v>
      </c>
      <c r="O297" s="290" t="s">
        <v>4623</v>
      </c>
      <c r="P297" s="290" t="s">
        <v>999</v>
      </c>
      <c r="Q297" s="291" t="s">
        <v>4623</v>
      </c>
      <c r="R297" s="276"/>
      <c r="S297" s="277">
        <f>IF(OR(C297="",C297=T$4),NA(),MATCH($B297&amp;$C297,'Smelter Reference List'!$J:$J,0))</f>
        <v>222</v>
      </c>
      <c r="T297" s="278"/>
      <c r="U297" s="278"/>
      <c r="V297" s="278"/>
      <c r="W297" s="278"/>
    </row>
    <row r="298" spans="1:23" s="269" customFormat="1" ht="20.25">
      <c r="A298" s="267"/>
      <c r="B298" s="275" t="s">
        <v>2436</v>
      </c>
      <c r="C298" s="275" t="s">
        <v>3831</v>
      </c>
      <c r="D298" s="168" t="s">
        <v>5155</v>
      </c>
      <c r="E298" s="168" t="s">
        <v>2294</v>
      </c>
      <c r="F298" s="168" t="s">
        <v>4623</v>
      </c>
      <c r="G298" s="168" t="s">
        <v>4623</v>
      </c>
      <c r="H298" s="292" t="s">
        <v>4623</v>
      </c>
      <c r="I298" s="293" t="s">
        <v>4623</v>
      </c>
      <c r="J298" s="293" t="s">
        <v>4623</v>
      </c>
      <c r="K298" s="290" t="s">
        <v>4623</v>
      </c>
      <c r="L298" s="290" t="s">
        <v>4623</v>
      </c>
      <c r="M298" s="290" t="s">
        <v>4623</v>
      </c>
      <c r="N298" s="290" t="s">
        <v>4623</v>
      </c>
      <c r="O298" s="290" t="s">
        <v>4623</v>
      </c>
      <c r="P298" s="290" t="s">
        <v>999</v>
      </c>
      <c r="Q298" s="291" t="s">
        <v>4623</v>
      </c>
      <c r="R298" s="276"/>
      <c r="S298" s="277">
        <f>IF(OR(C298="",C298=T$4),NA(),MATCH($B298&amp;$C298,'Smelter Reference List'!$J:$J,0))</f>
        <v>222</v>
      </c>
      <c r="T298" s="278"/>
      <c r="U298" s="278"/>
      <c r="V298" s="278"/>
      <c r="W298" s="278"/>
    </row>
    <row r="299" spans="1:23" s="269" customFormat="1" ht="20.25">
      <c r="A299" s="267"/>
      <c r="B299" s="275" t="s">
        <v>2436</v>
      </c>
      <c r="C299" s="275" t="s">
        <v>3831</v>
      </c>
      <c r="D299" s="168" t="s">
        <v>5156</v>
      </c>
      <c r="E299" s="168" t="s">
        <v>2294</v>
      </c>
      <c r="F299" s="168" t="s">
        <v>4623</v>
      </c>
      <c r="G299" s="168" t="s">
        <v>4623</v>
      </c>
      <c r="H299" s="292" t="s">
        <v>4623</v>
      </c>
      <c r="I299" s="293" t="s">
        <v>4623</v>
      </c>
      <c r="J299" s="293" t="s">
        <v>4623</v>
      </c>
      <c r="K299" s="290" t="s">
        <v>4623</v>
      </c>
      <c r="L299" s="290" t="s">
        <v>4623</v>
      </c>
      <c r="M299" s="290" t="s">
        <v>4623</v>
      </c>
      <c r="N299" s="290" t="s">
        <v>4623</v>
      </c>
      <c r="O299" s="290" t="s">
        <v>4623</v>
      </c>
      <c r="P299" s="290" t="s">
        <v>999</v>
      </c>
      <c r="Q299" s="291" t="s">
        <v>4623</v>
      </c>
      <c r="R299" s="276"/>
      <c r="S299" s="277">
        <f>IF(OR(C299="",C299=T$4),NA(),MATCH($B299&amp;$C299,'Smelter Reference List'!$J:$J,0))</f>
        <v>222</v>
      </c>
      <c r="T299" s="278"/>
      <c r="U299" s="278"/>
      <c r="V299" s="278"/>
      <c r="W299" s="278"/>
    </row>
    <row r="300" spans="1:23" s="269" customFormat="1" ht="20.25">
      <c r="A300" s="267"/>
      <c r="B300" s="275" t="s">
        <v>2436</v>
      </c>
      <c r="C300" s="275" t="s">
        <v>3831</v>
      </c>
      <c r="D300" s="168" t="s">
        <v>5157</v>
      </c>
      <c r="E300" s="168" t="s">
        <v>2294</v>
      </c>
      <c r="F300" s="168" t="s">
        <v>4623</v>
      </c>
      <c r="G300" s="168" t="s">
        <v>4623</v>
      </c>
      <c r="H300" s="292" t="s">
        <v>4623</v>
      </c>
      <c r="I300" s="293" t="s">
        <v>4623</v>
      </c>
      <c r="J300" s="293" t="s">
        <v>4623</v>
      </c>
      <c r="K300" s="290" t="s">
        <v>4623</v>
      </c>
      <c r="L300" s="290" t="s">
        <v>4623</v>
      </c>
      <c r="M300" s="290" t="s">
        <v>4623</v>
      </c>
      <c r="N300" s="290" t="s">
        <v>4623</v>
      </c>
      <c r="O300" s="290" t="s">
        <v>4623</v>
      </c>
      <c r="P300" s="290" t="s">
        <v>999</v>
      </c>
      <c r="Q300" s="291" t="s">
        <v>4623</v>
      </c>
      <c r="R300" s="276"/>
      <c r="S300" s="277">
        <f>IF(OR(C300="",C300=T$4),NA(),MATCH($B300&amp;$C300,'Smelter Reference List'!$J:$J,0))</f>
        <v>222</v>
      </c>
      <c r="T300" s="278"/>
      <c r="U300" s="278"/>
      <c r="V300" s="278"/>
      <c r="W300" s="278"/>
    </row>
    <row r="301" spans="1:23" s="269" customFormat="1" ht="20.25">
      <c r="A301" s="267"/>
      <c r="B301" s="275" t="s">
        <v>2436</v>
      </c>
      <c r="C301" s="275" t="s">
        <v>3831</v>
      </c>
      <c r="D301" s="168" t="s">
        <v>5158</v>
      </c>
      <c r="E301" s="168" t="s">
        <v>2294</v>
      </c>
      <c r="F301" s="168" t="s">
        <v>4623</v>
      </c>
      <c r="G301" s="168" t="s">
        <v>4623</v>
      </c>
      <c r="H301" s="292" t="s">
        <v>4623</v>
      </c>
      <c r="I301" s="293" t="s">
        <v>4623</v>
      </c>
      <c r="J301" s="293" t="s">
        <v>4623</v>
      </c>
      <c r="K301" s="290" t="s">
        <v>4623</v>
      </c>
      <c r="L301" s="290" t="s">
        <v>4623</v>
      </c>
      <c r="M301" s="290" t="s">
        <v>4623</v>
      </c>
      <c r="N301" s="290" t="s">
        <v>4623</v>
      </c>
      <c r="O301" s="290" t="s">
        <v>4623</v>
      </c>
      <c r="P301" s="290" t="s">
        <v>999</v>
      </c>
      <c r="Q301" s="291" t="s">
        <v>4623</v>
      </c>
      <c r="R301" s="276"/>
      <c r="S301" s="277">
        <f>IF(OR(C301="",C301=T$4),NA(),MATCH($B301&amp;$C301,'Smelter Reference List'!$J:$J,0))</f>
        <v>222</v>
      </c>
      <c r="T301" s="278"/>
      <c r="U301" s="278"/>
      <c r="V301" s="278"/>
      <c r="W301" s="278"/>
    </row>
    <row r="302" spans="1:23" s="269" customFormat="1" ht="20.25">
      <c r="A302" s="267"/>
      <c r="B302" s="275" t="s">
        <v>2436</v>
      </c>
      <c r="C302" s="275" t="s">
        <v>3831</v>
      </c>
      <c r="D302" s="168" t="s">
        <v>5159</v>
      </c>
      <c r="E302" s="168" t="s">
        <v>2294</v>
      </c>
      <c r="F302" s="168" t="s">
        <v>4623</v>
      </c>
      <c r="G302" s="168" t="s">
        <v>4623</v>
      </c>
      <c r="H302" s="292" t="s">
        <v>4623</v>
      </c>
      <c r="I302" s="293" t="s">
        <v>4623</v>
      </c>
      <c r="J302" s="293" t="s">
        <v>4623</v>
      </c>
      <c r="K302" s="290" t="s">
        <v>4623</v>
      </c>
      <c r="L302" s="290" t="s">
        <v>4623</v>
      </c>
      <c r="M302" s="290" t="s">
        <v>4623</v>
      </c>
      <c r="N302" s="290" t="s">
        <v>4623</v>
      </c>
      <c r="O302" s="290" t="s">
        <v>4623</v>
      </c>
      <c r="P302" s="290" t="s">
        <v>999</v>
      </c>
      <c r="Q302" s="291" t="s">
        <v>4623</v>
      </c>
      <c r="R302" s="276"/>
      <c r="S302" s="277">
        <f>IF(OR(C302="",C302=T$4),NA(),MATCH($B302&amp;$C302,'Smelter Reference List'!$J:$J,0))</f>
        <v>222</v>
      </c>
      <c r="T302" s="278"/>
      <c r="U302" s="278"/>
      <c r="V302" s="278"/>
      <c r="W302" s="278"/>
    </row>
    <row r="303" spans="1:23" s="269" customFormat="1" ht="20.25">
      <c r="A303" s="267"/>
      <c r="B303" s="275" t="s">
        <v>2436</v>
      </c>
      <c r="C303" s="275" t="s">
        <v>3831</v>
      </c>
      <c r="D303" s="168" t="s">
        <v>5160</v>
      </c>
      <c r="E303" s="168" t="s">
        <v>2294</v>
      </c>
      <c r="F303" s="168" t="s">
        <v>4623</v>
      </c>
      <c r="G303" s="168" t="s">
        <v>4623</v>
      </c>
      <c r="H303" s="292" t="s">
        <v>4623</v>
      </c>
      <c r="I303" s="293" t="s">
        <v>4623</v>
      </c>
      <c r="J303" s="293" t="s">
        <v>4623</v>
      </c>
      <c r="K303" s="290" t="s">
        <v>4623</v>
      </c>
      <c r="L303" s="290" t="s">
        <v>4623</v>
      </c>
      <c r="M303" s="290" t="s">
        <v>4623</v>
      </c>
      <c r="N303" s="290" t="s">
        <v>4623</v>
      </c>
      <c r="O303" s="290" t="s">
        <v>4623</v>
      </c>
      <c r="P303" s="290" t="s">
        <v>999</v>
      </c>
      <c r="Q303" s="291" t="s">
        <v>4623</v>
      </c>
      <c r="R303" s="276"/>
      <c r="S303" s="277">
        <f>IF(OR(C303="",C303=T$4),NA(),MATCH($B303&amp;$C303,'Smelter Reference List'!$J:$J,0))</f>
        <v>222</v>
      </c>
      <c r="T303" s="278"/>
      <c r="U303" s="278"/>
      <c r="V303" s="278"/>
      <c r="W303" s="278"/>
    </row>
    <row r="304" spans="1:23" s="269" customFormat="1" ht="20.25">
      <c r="A304" s="267"/>
      <c r="B304" s="275" t="s">
        <v>2436</v>
      </c>
      <c r="C304" s="275" t="s">
        <v>3831</v>
      </c>
      <c r="D304" s="168" t="s">
        <v>5161</v>
      </c>
      <c r="E304" s="168" t="s">
        <v>2294</v>
      </c>
      <c r="F304" s="168" t="s">
        <v>4623</v>
      </c>
      <c r="G304" s="168" t="s">
        <v>4623</v>
      </c>
      <c r="H304" s="292" t="s">
        <v>5162</v>
      </c>
      <c r="I304" s="293" t="s">
        <v>5163</v>
      </c>
      <c r="J304" s="293" t="s">
        <v>5164</v>
      </c>
      <c r="K304" s="290" t="s">
        <v>4623</v>
      </c>
      <c r="L304" s="290" t="s">
        <v>5165</v>
      </c>
      <c r="M304" s="290" t="s">
        <v>5166</v>
      </c>
      <c r="N304" s="290" t="s">
        <v>5167</v>
      </c>
      <c r="O304" s="290" t="s">
        <v>5168</v>
      </c>
      <c r="P304" s="290" t="s">
        <v>999</v>
      </c>
      <c r="Q304" s="291" t="s">
        <v>4623</v>
      </c>
      <c r="R304" s="276"/>
      <c r="S304" s="277">
        <f>IF(OR(C304="",C304=T$4),NA(),MATCH($B304&amp;$C304,'Smelter Reference List'!$J:$J,0))</f>
        <v>222</v>
      </c>
      <c r="T304" s="278"/>
      <c r="U304" s="278"/>
      <c r="V304" s="278"/>
      <c r="W304" s="278"/>
    </row>
    <row r="305" spans="1:23" s="269" customFormat="1" ht="20.25">
      <c r="A305" s="267"/>
      <c r="B305" s="275" t="s">
        <v>2436</v>
      </c>
      <c r="C305" s="275" t="s">
        <v>3831</v>
      </c>
      <c r="D305" s="168" t="s">
        <v>5169</v>
      </c>
      <c r="E305" s="168" t="s">
        <v>2294</v>
      </c>
      <c r="F305" s="168" t="s">
        <v>4623</v>
      </c>
      <c r="G305" s="168" t="s">
        <v>4623</v>
      </c>
      <c r="H305" s="292" t="s">
        <v>4623</v>
      </c>
      <c r="I305" s="293" t="s">
        <v>4623</v>
      </c>
      <c r="J305" s="293" t="s">
        <v>4623</v>
      </c>
      <c r="K305" s="290" t="s">
        <v>4623</v>
      </c>
      <c r="L305" s="290" t="s">
        <v>4623</v>
      </c>
      <c r="M305" s="290" t="s">
        <v>4623</v>
      </c>
      <c r="N305" s="290" t="s">
        <v>4623</v>
      </c>
      <c r="O305" s="290" t="s">
        <v>4623</v>
      </c>
      <c r="P305" s="290" t="s">
        <v>999</v>
      </c>
      <c r="Q305" s="291" t="s">
        <v>4623</v>
      </c>
      <c r="R305" s="276"/>
      <c r="S305" s="277">
        <f>IF(OR(C305="",C305=T$4),NA(),MATCH($B305&amp;$C305,'Smelter Reference List'!$J:$J,0))</f>
        <v>222</v>
      </c>
      <c r="T305" s="278"/>
      <c r="U305" s="278"/>
      <c r="V305" s="278"/>
      <c r="W305" s="278"/>
    </row>
    <row r="306" spans="1:23" s="269" customFormat="1" ht="20.25">
      <c r="A306" s="267"/>
      <c r="B306" s="275" t="s">
        <v>2436</v>
      </c>
      <c r="C306" s="275" t="s">
        <v>3831</v>
      </c>
      <c r="D306" s="168" t="s">
        <v>5170</v>
      </c>
      <c r="E306" s="168" t="s">
        <v>2294</v>
      </c>
      <c r="F306" s="168" t="s">
        <v>4623</v>
      </c>
      <c r="G306" s="168" t="s">
        <v>4623</v>
      </c>
      <c r="H306" s="292" t="s">
        <v>4623</v>
      </c>
      <c r="I306" s="293" t="s">
        <v>4623</v>
      </c>
      <c r="J306" s="293" t="s">
        <v>4623</v>
      </c>
      <c r="K306" s="290" t="s">
        <v>4623</v>
      </c>
      <c r="L306" s="290" t="s">
        <v>4623</v>
      </c>
      <c r="M306" s="290" t="s">
        <v>4623</v>
      </c>
      <c r="N306" s="290" t="s">
        <v>4623</v>
      </c>
      <c r="O306" s="290" t="s">
        <v>4623</v>
      </c>
      <c r="P306" s="290" t="s">
        <v>999</v>
      </c>
      <c r="Q306" s="291" t="s">
        <v>4623</v>
      </c>
      <c r="R306" s="276"/>
      <c r="S306" s="277">
        <f>IF(OR(C306="",C306=T$4),NA(),MATCH($B306&amp;$C306,'Smelter Reference List'!$J:$J,0))</f>
        <v>222</v>
      </c>
      <c r="T306" s="278"/>
      <c r="U306" s="278"/>
      <c r="V306" s="278"/>
      <c r="W306" s="278"/>
    </row>
    <row r="307" spans="1:23" s="269" customFormat="1" ht="20.25">
      <c r="A307" s="267"/>
      <c r="B307" s="275" t="s">
        <v>2436</v>
      </c>
      <c r="C307" s="275" t="s">
        <v>3831</v>
      </c>
      <c r="D307" s="168" t="s">
        <v>5171</v>
      </c>
      <c r="E307" s="168" t="s">
        <v>2294</v>
      </c>
      <c r="F307" s="168" t="s">
        <v>4623</v>
      </c>
      <c r="G307" s="168" t="s">
        <v>4623</v>
      </c>
      <c r="H307" s="292" t="s">
        <v>4623</v>
      </c>
      <c r="I307" s="293" t="s">
        <v>4623</v>
      </c>
      <c r="J307" s="293" t="s">
        <v>4623</v>
      </c>
      <c r="K307" s="290" t="s">
        <v>4623</v>
      </c>
      <c r="L307" s="290" t="s">
        <v>4623</v>
      </c>
      <c r="M307" s="290" t="s">
        <v>4623</v>
      </c>
      <c r="N307" s="290" t="s">
        <v>4623</v>
      </c>
      <c r="O307" s="290" t="s">
        <v>4623</v>
      </c>
      <c r="P307" s="290" t="s">
        <v>999</v>
      </c>
      <c r="Q307" s="291" t="s">
        <v>4623</v>
      </c>
      <c r="R307" s="276"/>
      <c r="S307" s="277">
        <f>IF(OR(C307="",C307=T$4),NA(),MATCH($B307&amp;$C307,'Smelter Reference List'!$J:$J,0))</f>
        <v>222</v>
      </c>
      <c r="T307" s="278"/>
      <c r="U307" s="278"/>
      <c r="V307" s="278"/>
      <c r="W307" s="278"/>
    </row>
    <row r="308" spans="1:23" s="269" customFormat="1" ht="20.25">
      <c r="A308" s="267"/>
      <c r="B308" s="275" t="s">
        <v>2436</v>
      </c>
      <c r="C308" s="275" t="s">
        <v>3831</v>
      </c>
      <c r="D308" s="168" t="s">
        <v>5172</v>
      </c>
      <c r="E308" s="168" t="s">
        <v>2294</v>
      </c>
      <c r="F308" s="168" t="s">
        <v>4623</v>
      </c>
      <c r="G308" s="168" t="s">
        <v>4623</v>
      </c>
      <c r="H308" s="292" t="s">
        <v>4623</v>
      </c>
      <c r="I308" s="293" t="s">
        <v>4623</v>
      </c>
      <c r="J308" s="293" t="s">
        <v>4623</v>
      </c>
      <c r="K308" s="290" t="s">
        <v>4623</v>
      </c>
      <c r="L308" s="290" t="s">
        <v>4623</v>
      </c>
      <c r="M308" s="290" t="s">
        <v>4623</v>
      </c>
      <c r="N308" s="290" t="s">
        <v>4623</v>
      </c>
      <c r="O308" s="290" t="s">
        <v>4623</v>
      </c>
      <c r="P308" s="290" t="s">
        <v>999</v>
      </c>
      <c r="Q308" s="291" t="s">
        <v>4623</v>
      </c>
      <c r="R308" s="276"/>
      <c r="S308" s="277">
        <f>IF(OR(C308="",C308=T$4),NA(),MATCH($B308&amp;$C308,'Smelter Reference List'!$J:$J,0))</f>
        <v>222</v>
      </c>
      <c r="T308" s="278"/>
      <c r="U308" s="278"/>
      <c r="V308" s="278"/>
      <c r="W308" s="278"/>
    </row>
    <row r="309" spans="1:23" s="269" customFormat="1" ht="20.25">
      <c r="A309" s="267"/>
      <c r="B309" s="275" t="s">
        <v>2436</v>
      </c>
      <c r="C309" s="275" t="s">
        <v>3831</v>
      </c>
      <c r="D309" s="168" t="s">
        <v>5173</v>
      </c>
      <c r="E309" s="168" t="s">
        <v>2294</v>
      </c>
      <c r="F309" s="168" t="s">
        <v>4623</v>
      </c>
      <c r="G309" s="168" t="s">
        <v>4623</v>
      </c>
      <c r="H309" s="292" t="s">
        <v>5174</v>
      </c>
      <c r="I309" s="293" t="s">
        <v>5175</v>
      </c>
      <c r="J309" s="293" t="s">
        <v>3542</v>
      </c>
      <c r="K309" s="290" t="s">
        <v>4623</v>
      </c>
      <c r="L309" s="290" t="s">
        <v>5176</v>
      </c>
      <c r="M309" s="290" t="s">
        <v>4623</v>
      </c>
      <c r="N309" s="290" t="s">
        <v>4623</v>
      </c>
      <c r="O309" s="290" t="s">
        <v>4623</v>
      </c>
      <c r="P309" s="290" t="s">
        <v>999</v>
      </c>
      <c r="Q309" s="291" t="s">
        <v>4623</v>
      </c>
      <c r="R309" s="276"/>
      <c r="S309" s="277">
        <f>IF(OR(C309="",C309=T$4),NA(),MATCH($B309&amp;$C309,'Smelter Reference List'!$J:$J,0))</f>
        <v>222</v>
      </c>
      <c r="T309" s="278"/>
      <c r="U309" s="278"/>
      <c r="V309" s="278"/>
      <c r="W309" s="278"/>
    </row>
    <row r="310" spans="1:23" s="269" customFormat="1" ht="20.25">
      <c r="A310" s="267"/>
      <c r="B310" s="275" t="s">
        <v>2436</v>
      </c>
      <c r="C310" s="275" t="s">
        <v>3831</v>
      </c>
      <c r="D310" s="168" t="s">
        <v>2060</v>
      </c>
      <c r="E310" s="168" t="s">
        <v>2294</v>
      </c>
      <c r="F310" s="168" t="s">
        <v>4623</v>
      </c>
      <c r="G310" s="168" t="s">
        <v>4623</v>
      </c>
      <c r="H310" s="292" t="s">
        <v>5177</v>
      </c>
      <c r="I310" s="293" t="s">
        <v>3603</v>
      </c>
      <c r="J310" s="293" t="s">
        <v>5178</v>
      </c>
      <c r="K310" s="290" t="s">
        <v>4623</v>
      </c>
      <c r="L310" s="290" t="s">
        <v>5179</v>
      </c>
      <c r="M310" s="290" t="s">
        <v>4623</v>
      </c>
      <c r="N310" s="290" t="s">
        <v>4623</v>
      </c>
      <c r="O310" s="290" t="s">
        <v>5180</v>
      </c>
      <c r="P310" s="290" t="s">
        <v>999</v>
      </c>
      <c r="Q310" s="291" t="s">
        <v>4623</v>
      </c>
      <c r="R310" s="276"/>
      <c r="S310" s="277">
        <f>IF(OR(C310="",C310=T$4),NA(),MATCH($B310&amp;$C310,'Smelter Reference List'!$J:$J,0))</f>
        <v>222</v>
      </c>
      <c r="T310" s="278"/>
      <c r="U310" s="278"/>
      <c r="V310" s="278"/>
      <c r="W310" s="278"/>
    </row>
    <row r="311" spans="1:23" s="269" customFormat="1" ht="20.25">
      <c r="A311" s="267"/>
      <c r="B311" s="275" t="s">
        <v>2436</v>
      </c>
      <c r="C311" s="275" t="s">
        <v>3831</v>
      </c>
      <c r="D311" s="168" t="s">
        <v>5181</v>
      </c>
      <c r="E311" s="168" t="s">
        <v>2294</v>
      </c>
      <c r="F311" s="168" t="s">
        <v>4623</v>
      </c>
      <c r="G311" s="168" t="s">
        <v>4623</v>
      </c>
      <c r="H311" s="292" t="s">
        <v>4623</v>
      </c>
      <c r="I311" s="293" t="s">
        <v>4623</v>
      </c>
      <c r="J311" s="293" t="s">
        <v>4623</v>
      </c>
      <c r="K311" s="290" t="s">
        <v>4623</v>
      </c>
      <c r="L311" s="290" t="s">
        <v>4623</v>
      </c>
      <c r="M311" s="290" t="s">
        <v>4623</v>
      </c>
      <c r="N311" s="290" t="s">
        <v>4623</v>
      </c>
      <c r="O311" s="290" t="s">
        <v>4623</v>
      </c>
      <c r="P311" s="290" t="s">
        <v>999</v>
      </c>
      <c r="Q311" s="291" t="s">
        <v>4623</v>
      </c>
      <c r="R311" s="276"/>
      <c r="S311" s="277">
        <f>IF(OR(C311="",C311=T$4),NA(),MATCH($B311&amp;$C311,'Smelter Reference List'!$J:$J,0))</f>
        <v>222</v>
      </c>
      <c r="T311" s="278"/>
      <c r="U311" s="278"/>
      <c r="V311" s="278"/>
      <c r="W311" s="278"/>
    </row>
    <row r="312" spans="1:23" s="269" customFormat="1" ht="20.25">
      <c r="A312" s="267"/>
      <c r="B312" s="275" t="s">
        <v>2436</v>
      </c>
      <c r="C312" s="275" t="s">
        <v>3831</v>
      </c>
      <c r="D312" s="168" t="s">
        <v>5182</v>
      </c>
      <c r="E312" s="168" t="s">
        <v>2294</v>
      </c>
      <c r="F312" s="168" t="s">
        <v>4623</v>
      </c>
      <c r="G312" s="168" t="s">
        <v>4623</v>
      </c>
      <c r="H312" s="292" t="s">
        <v>4623</v>
      </c>
      <c r="I312" s="293" t="s">
        <v>4623</v>
      </c>
      <c r="J312" s="293" t="s">
        <v>4623</v>
      </c>
      <c r="K312" s="290" t="s">
        <v>4623</v>
      </c>
      <c r="L312" s="290" t="s">
        <v>4623</v>
      </c>
      <c r="M312" s="290" t="s">
        <v>4623</v>
      </c>
      <c r="N312" s="290" t="s">
        <v>4623</v>
      </c>
      <c r="O312" s="290" t="s">
        <v>4623</v>
      </c>
      <c r="P312" s="290" t="s">
        <v>999</v>
      </c>
      <c r="Q312" s="291" t="s">
        <v>4623</v>
      </c>
      <c r="R312" s="276"/>
      <c r="S312" s="277">
        <f>IF(OR(C312="",C312=T$4),NA(),MATCH($B312&amp;$C312,'Smelter Reference List'!$J:$J,0))</f>
        <v>222</v>
      </c>
      <c r="T312" s="278"/>
      <c r="U312" s="278"/>
      <c r="V312" s="278"/>
      <c r="W312" s="278"/>
    </row>
    <row r="313" spans="1:23" s="269" customFormat="1" ht="20.25">
      <c r="A313" s="267"/>
      <c r="B313" s="275" t="s">
        <v>2436</v>
      </c>
      <c r="C313" s="275" t="s">
        <v>3831</v>
      </c>
      <c r="D313" s="168" t="s">
        <v>5183</v>
      </c>
      <c r="E313" s="168" t="s">
        <v>2294</v>
      </c>
      <c r="F313" s="168" t="s">
        <v>4623</v>
      </c>
      <c r="G313" s="168" t="s">
        <v>4623</v>
      </c>
      <c r="H313" s="292" t="s">
        <v>4623</v>
      </c>
      <c r="I313" s="293" t="s">
        <v>4623</v>
      </c>
      <c r="J313" s="293" t="s">
        <v>4623</v>
      </c>
      <c r="K313" s="290" t="s">
        <v>4623</v>
      </c>
      <c r="L313" s="290" t="s">
        <v>4623</v>
      </c>
      <c r="M313" s="290" t="s">
        <v>4623</v>
      </c>
      <c r="N313" s="290" t="s">
        <v>4623</v>
      </c>
      <c r="O313" s="290" t="s">
        <v>4623</v>
      </c>
      <c r="P313" s="290" t="s">
        <v>999</v>
      </c>
      <c r="Q313" s="291" t="s">
        <v>4623</v>
      </c>
      <c r="R313" s="276"/>
      <c r="S313" s="277">
        <f>IF(OR(C313="",C313=T$4),NA(),MATCH($B313&amp;$C313,'Smelter Reference List'!$J:$J,0))</f>
        <v>222</v>
      </c>
      <c r="T313" s="278"/>
      <c r="U313" s="278"/>
      <c r="V313" s="278"/>
      <c r="W313" s="278"/>
    </row>
    <row r="314" spans="1:23" s="269" customFormat="1" ht="20.25">
      <c r="A314" s="267"/>
      <c r="B314" s="275" t="s">
        <v>2436</v>
      </c>
      <c r="C314" s="275" t="s">
        <v>3831</v>
      </c>
      <c r="D314" s="168" t="s">
        <v>5184</v>
      </c>
      <c r="E314" s="168" t="s">
        <v>2294</v>
      </c>
      <c r="F314" s="168" t="s">
        <v>4623</v>
      </c>
      <c r="G314" s="168" t="s">
        <v>4623</v>
      </c>
      <c r="H314" s="292" t="s">
        <v>5185</v>
      </c>
      <c r="I314" s="293" t="s">
        <v>5186</v>
      </c>
      <c r="J314" s="293" t="s">
        <v>3442</v>
      </c>
      <c r="K314" s="290" t="s">
        <v>4623</v>
      </c>
      <c r="L314" s="290" t="s">
        <v>4623</v>
      </c>
      <c r="M314" s="290" t="s">
        <v>4623</v>
      </c>
      <c r="N314" s="290" t="s">
        <v>4623</v>
      </c>
      <c r="O314" s="290" t="s">
        <v>5187</v>
      </c>
      <c r="P314" s="290" t="s">
        <v>999</v>
      </c>
      <c r="Q314" s="291" t="s">
        <v>4623</v>
      </c>
      <c r="R314" s="276"/>
      <c r="S314" s="277">
        <f>IF(OR(C314="",C314=T$4),NA(),MATCH($B314&amp;$C314,'Smelter Reference List'!$J:$J,0))</f>
        <v>222</v>
      </c>
      <c r="T314" s="278"/>
      <c r="U314" s="278"/>
      <c r="V314" s="278"/>
      <c r="W314" s="278"/>
    </row>
    <row r="315" spans="1:23" s="269" customFormat="1" ht="20.25">
      <c r="A315" s="267"/>
      <c r="B315" s="275" t="s">
        <v>2436</v>
      </c>
      <c r="C315" s="275" t="s">
        <v>3831</v>
      </c>
      <c r="D315" s="168" t="s">
        <v>5188</v>
      </c>
      <c r="E315" s="168" t="s">
        <v>2294</v>
      </c>
      <c r="F315" s="168" t="s">
        <v>4623</v>
      </c>
      <c r="G315" s="168" t="s">
        <v>4623</v>
      </c>
      <c r="H315" s="292" t="s">
        <v>4623</v>
      </c>
      <c r="I315" s="293" t="s">
        <v>4623</v>
      </c>
      <c r="J315" s="293" t="s">
        <v>4623</v>
      </c>
      <c r="K315" s="290" t="s">
        <v>4623</v>
      </c>
      <c r="L315" s="290" t="s">
        <v>4623</v>
      </c>
      <c r="M315" s="290" t="s">
        <v>4623</v>
      </c>
      <c r="N315" s="290" t="s">
        <v>4623</v>
      </c>
      <c r="O315" s="290" t="s">
        <v>4623</v>
      </c>
      <c r="P315" s="290" t="s">
        <v>999</v>
      </c>
      <c r="Q315" s="291" t="s">
        <v>4623</v>
      </c>
      <c r="R315" s="276"/>
      <c r="S315" s="277">
        <f>IF(OR(C315="",C315=T$4),NA(),MATCH($B315&amp;$C315,'Smelter Reference List'!$J:$J,0))</f>
        <v>222</v>
      </c>
      <c r="T315" s="278"/>
      <c r="U315" s="278"/>
      <c r="V315" s="278"/>
      <c r="W315" s="278"/>
    </row>
    <row r="316" spans="1:23" s="269" customFormat="1" ht="20.25">
      <c r="A316" s="267"/>
      <c r="B316" s="275" t="s">
        <v>2436</v>
      </c>
      <c r="C316" s="275" t="s">
        <v>3831</v>
      </c>
      <c r="D316" s="168" t="s">
        <v>5189</v>
      </c>
      <c r="E316" s="168" t="s">
        <v>2294</v>
      </c>
      <c r="F316" s="168" t="s">
        <v>4623</v>
      </c>
      <c r="G316" s="168" t="s">
        <v>4623</v>
      </c>
      <c r="H316" s="292" t="s">
        <v>3474</v>
      </c>
      <c r="I316" s="293" t="s">
        <v>4623</v>
      </c>
      <c r="J316" s="293" t="s">
        <v>4623</v>
      </c>
      <c r="K316" s="290" t="s">
        <v>4623</v>
      </c>
      <c r="L316" s="290" t="s">
        <v>4623</v>
      </c>
      <c r="M316" s="290" t="s">
        <v>4623</v>
      </c>
      <c r="N316" s="290" t="s">
        <v>4623</v>
      </c>
      <c r="O316" s="290" t="s">
        <v>4623</v>
      </c>
      <c r="P316" s="290" t="s">
        <v>999</v>
      </c>
      <c r="Q316" s="291" t="s">
        <v>4623</v>
      </c>
      <c r="R316" s="276"/>
      <c r="S316" s="277">
        <f>IF(OR(C316="",C316=T$4),NA(),MATCH($B316&amp;$C316,'Smelter Reference List'!$J:$J,0))</f>
        <v>222</v>
      </c>
      <c r="T316" s="278"/>
      <c r="U316" s="278"/>
      <c r="V316" s="278"/>
      <c r="W316" s="278"/>
    </row>
    <row r="317" spans="1:23" s="269" customFormat="1" ht="20.25">
      <c r="A317" s="267"/>
      <c r="B317" s="275" t="s">
        <v>2436</v>
      </c>
      <c r="C317" s="275" t="s">
        <v>3831</v>
      </c>
      <c r="D317" s="168" t="s">
        <v>5190</v>
      </c>
      <c r="E317" s="168" t="s">
        <v>2294</v>
      </c>
      <c r="F317" s="168" t="s">
        <v>4623</v>
      </c>
      <c r="G317" s="168" t="s">
        <v>4623</v>
      </c>
      <c r="H317" s="292" t="s">
        <v>4623</v>
      </c>
      <c r="I317" s="293" t="s">
        <v>4623</v>
      </c>
      <c r="J317" s="293" t="s">
        <v>4623</v>
      </c>
      <c r="K317" s="290" t="s">
        <v>4623</v>
      </c>
      <c r="L317" s="290" t="s">
        <v>4623</v>
      </c>
      <c r="M317" s="290" t="s">
        <v>4623</v>
      </c>
      <c r="N317" s="290" t="s">
        <v>5191</v>
      </c>
      <c r="O317" s="290" t="s">
        <v>4623</v>
      </c>
      <c r="P317" s="290" t="s">
        <v>999</v>
      </c>
      <c r="Q317" s="291" t="s">
        <v>4623</v>
      </c>
      <c r="R317" s="276"/>
      <c r="S317" s="277">
        <f>IF(OR(C317="",C317=T$4),NA(),MATCH($B317&amp;$C317,'Smelter Reference List'!$J:$J,0))</f>
        <v>222</v>
      </c>
      <c r="T317" s="278"/>
      <c r="U317" s="278"/>
      <c r="V317" s="278"/>
      <c r="W317" s="278"/>
    </row>
    <row r="318" spans="1:23" s="269" customFormat="1" ht="20.25">
      <c r="A318" s="267"/>
      <c r="B318" s="275" t="s">
        <v>2436</v>
      </c>
      <c r="C318" s="275" t="s">
        <v>3831</v>
      </c>
      <c r="D318" s="168" t="s">
        <v>5192</v>
      </c>
      <c r="E318" s="168" t="s">
        <v>2294</v>
      </c>
      <c r="F318" s="168" t="s">
        <v>4623</v>
      </c>
      <c r="G318" s="168" t="s">
        <v>4623</v>
      </c>
      <c r="H318" s="292" t="s">
        <v>4623</v>
      </c>
      <c r="I318" s="293" t="s">
        <v>4623</v>
      </c>
      <c r="J318" s="293" t="s">
        <v>4623</v>
      </c>
      <c r="K318" s="290" t="s">
        <v>4623</v>
      </c>
      <c r="L318" s="290" t="s">
        <v>4623</v>
      </c>
      <c r="M318" s="290" t="s">
        <v>4623</v>
      </c>
      <c r="N318" s="290" t="s">
        <v>4623</v>
      </c>
      <c r="O318" s="290" t="s">
        <v>4623</v>
      </c>
      <c r="P318" s="290" t="s">
        <v>999</v>
      </c>
      <c r="Q318" s="291" t="s">
        <v>4623</v>
      </c>
      <c r="R318" s="276"/>
      <c r="S318" s="277">
        <f>IF(OR(C318="",C318=T$4),NA(),MATCH($B318&amp;$C318,'Smelter Reference List'!$J:$J,0))</f>
        <v>222</v>
      </c>
      <c r="T318" s="278"/>
      <c r="U318" s="278"/>
      <c r="V318" s="278"/>
      <c r="W318" s="278"/>
    </row>
    <row r="319" spans="1:23" s="269" customFormat="1" ht="20.25">
      <c r="A319" s="267"/>
      <c r="B319" s="275" t="s">
        <v>2436</v>
      </c>
      <c r="C319" s="275" t="s">
        <v>3831</v>
      </c>
      <c r="D319" s="168" t="s">
        <v>5193</v>
      </c>
      <c r="E319" s="168" t="s">
        <v>2294</v>
      </c>
      <c r="F319" s="168" t="s">
        <v>4623</v>
      </c>
      <c r="G319" s="168" t="s">
        <v>4623</v>
      </c>
      <c r="H319" s="292" t="s">
        <v>4623</v>
      </c>
      <c r="I319" s="293" t="s">
        <v>4623</v>
      </c>
      <c r="J319" s="293" t="s">
        <v>4623</v>
      </c>
      <c r="K319" s="290" t="s">
        <v>4623</v>
      </c>
      <c r="L319" s="290" t="s">
        <v>4623</v>
      </c>
      <c r="M319" s="290" t="s">
        <v>4623</v>
      </c>
      <c r="N319" s="290" t="s">
        <v>4623</v>
      </c>
      <c r="O319" s="290" t="s">
        <v>4623</v>
      </c>
      <c r="P319" s="290" t="s">
        <v>999</v>
      </c>
      <c r="Q319" s="291" t="s">
        <v>4623</v>
      </c>
      <c r="R319" s="276"/>
      <c r="S319" s="277">
        <f>IF(OR(C319="",C319=T$4),NA(),MATCH($B319&amp;$C319,'Smelter Reference List'!$J:$J,0))</f>
        <v>222</v>
      </c>
      <c r="T319" s="278"/>
      <c r="U319" s="278"/>
      <c r="V319" s="278"/>
      <c r="W319" s="278"/>
    </row>
    <row r="320" spans="1:23" s="269" customFormat="1" ht="20.25">
      <c r="A320" s="267"/>
      <c r="B320" s="275" t="s">
        <v>2436</v>
      </c>
      <c r="C320" s="275" t="s">
        <v>3831</v>
      </c>
      <c r="D320" s="168" t="s">
        <v>5194</v>
      </c>
      <c r="E320" s="168" t="s">
        <v>2294</v>
      </c>
      <c r="F320" s="168" t="s">
        <v>4623</v>
      </c>
      <c r="G320" s="168" t="s">
        <v>4623</v>
      </c>
      <c r="H320" s="292" t="s">
        <v>4623</v>
      </c>
      <c r="I320" s="293" t="s">
        <v>4623</v>
      </c>
      <c r="J320" s="293" t="s">
        <v>4623</v>
      </c>
      <c r="K320" s="290" t="s">
        <v>4623</v>
      </c>
      <c r="L320" s="290" t="s">
        <v>4623</v>
      </c>
      <c r="M320" s="290" t="s">
        <v>4623</v>
      </c>
      <c r="N320" s="290" t="s">
        <v>4623</v>
      </c>
      <c r="O320" s="290" t="s">
        <v>4623</v>
      </c>
      <c r="P320" s="290" t="s">
        <v>999</v>
      </c>
      <c r="Q320" s="291" t="s">
        <v>4623</v>
      </c>
      <c r="R320" s="276"/>
      <c r="S320" s="277">
        <f>IF(OR(C320="",C320=T$4),NA(),MATCH($B320&amp;$C320,'Smelter Reference List'!$J:$J,0))</f>
        <v>222</v>
      </c>
      <c r="T320" s="278"/>
      <c r="U320" s="278"/>
      <c r="V320" s="278"/>
      <c r="W320" s="278"/>
    </row>
    <row r="321" spans="1:23" s="269" customFormat="1" ht="20.25">
      <c r="A321" s="267"/>
      <c r="B321" s="275" t="s">
        <v>2436</v>
      </c>
      <c r="C321" s="275" t="s">
        <v>3831</v>
      </c>
      <c r="D321" s="168" t="s">
        <v>5195</v>
      </c>
      <c r="E321" s="168" t="s">
        <v>2294</v>
      </c>
      <c r="F321" s="168" t="s">
        <v>4623</v>
      </c>
      <c r="G321" s="168" t="s">
        <v>4623</v>
      </c>
      <c r="H321" s="292" t="s">
        <v>4623</v>
      </c>
      <c r="I321" s="293" t="s">
        <v>4623</v>
      </c>
      <c r="J321" s="293" t="s">
        <v>4623</v>
      </c>
      <c r="K321" s="290" t="s">
        <v>4623</v>
      </c>
      <c r="L321" s="290" t="s">
        <v>4623</v>
      </c>
      <c r="M321" s="290" t="s">
        <v>4623</v>
      </c>
      <c r="N321" s="290" t="s">
        <v>4623</v>
      </c>
      <c r="O321" s="290" t="s">
        <v>4623</v>
      </c>
      <c r="P321" s="290" t="s">
        <v>999</v>
      </c>
      <c r="Q321" s="291" t="s">
        <v>4623</v>
      </c>
      <c r="R321" s="276"/>
      <c r="S321" s="277">
        <f>IF(OR(C321="",C321=T$4),NA(),MATCH($B321&amp;$C321,'Smelter Reference List'!$J:$J,0))</f>
        <v>222</v>
      </c>
      <c r="T321" s="278"/>
      <c r="U321" s="278"/>
      <c r="V321" s="278"/>
      <c r="W321" s="278"/>
    </row>
    <row r="322" spans="1:23" s="269" customFormat="1" ht="20.25">
      <c r="A322" s="267"/>
      <c r="B322" s="275" t="s">
        <v>2436</v>
      </c>
      <c r="C322" s="275" t="s">
        <v>3831</v>
      </c>
      <c r="D322" s="168" t="s">
        <v>5196</v>
      </c>
      <c r="E322" s="168" t="s">
        <v>2294</v>
      </c>
      <c r="F322" s="168" t="s">
        <v>4623</v>
      </c>
      <c r="G322" s="168" t="s">
        <v>4623</v>
      </c>
      <c r="H322" s="292" t="s">
        <v>4623</v>
      </c>
      <c r="I322" s="293" t="s">
        <v>4623</v>
      </c>
      <c r="J322" s="293" t="s">
        <v>4623</v>
      </c>
      <c r="K322" s="290" t="s">
        <v>4623</v>
      </c>
      <c r="L322" s="290" t="s">
        <v>4623</v>
      </c>
      <c r="M322" s="290" t="s">
        <v>4623</v>
      </c>
      <c r="N322" s="290" t="s">
        <v>4623</v>
      </c>
      <c r="O322" s="290" t="s">
        <v>4623</v>
      </c>
      <c r="P322" s="290" t="s">
        <v>999</v>
      </c>
      <c r="Q322" s="291" t="s">
        <v>4623</v>
      </c>
      <c r="R322" s="276"/>
      <c r="S322" s="277">
        <f>IF(OR(C322="",C322=T$4),NA(),MATCH($B322&amp;$C322,'Smelter Reference List'!$J:$J,0))</f>
        <v>222</v>
      </c>
      <c r="T322" s="278"/>
      <c r="U322" s="278"/>
      <c r="V322" s="278"/>
      <c r="W322" s="278"/>
    </row>
    <row r="323" spans="1:23" s="269" customFormat="1" ht="20.25">
      <c r="A323" s="267"/>
      <c r="B323" s="275" t="s">
        <v>2436</v>
      </c>
      <c r="C323" s="275" t="s">
        <v>3831</v>
      </c>
      <c r="D323" s="168" t="s">
        <v>5197</v>
      </c>
      <c r="E323" s="168" t="s">
        <v>2294</v>
      </c>
      <c r="F323" s="168" t="s">
        <v>4623</v>
      </c>
      <c r="G323" s="168" t="s">
        <v>4623</v>
      </c>
      <c r="H323" s="292" t="s">
        <v>5198</v>
      </c>
      <c r="I323" s="293" t="s">
        <v>5136</v>
      </c>
      <c r="J323" s="293" t="s">
        <v>3474</v>
      </c>
      <c r="K323" s="290" t="s">
        <v>4623</v>
      </c>
      <c r="L323" s="290" t="s">
        <v>4623</v>
      </c>
      <c r="M323" s="290" t="s">
        <v>5199</v>
      </c>
      <c r="N323" s="290" t="s">
        <v>4628</v>
      </c>
      <c r="O323" s="290" t="s">
        <v>4628</v>
      </c>
      <c r="P323" s="290" t="s">
        <v>999</v>
      </c>
      <c r="Q323" s="291" t="s">
        <v>4623</v>
      </c>
      <c r="R323" s="276"/>
      <c r="S323" s="277">
        <f>IF(OR(C323="",C323=T$4),NA(),MATCH($B323&amp;$C323,'Smelter Reference List'!$J:$J,0))</f>
        <v>222</v>
      </c>
      <c r="T323" s="278"/>
      <c r="U323" s="278"/>
      <c r="V323" s="278"/>
      <c r="W323" s="278"/>
    </row>
    <row r="324" spans="1:23" s="269" customFormat="1" ht="20.25">
      <c r="A324" s="267"/>
      <c r="B324" s="275" t="s">
        <v>2436</v>
      </c>
      <c r="C324" s="275" t="s">
        <v>3831</v>
      </c>
      <c r="D324" s="168" t="s">
        <v>5200</v>
      </c>
      <c r="E324" s="168" t="s">
        <v>2294</v>
      </c>
      <c r="F324" s="168" t="s">
        <v>4623</v>
      </c>
      <c r="G324" s="168" t="s">
        <v>4623</v>
      </c>
      <c r="H324" s="292" t="s">
        <v>5201</v>
      </c>
      <c r="I324" s="293" t="s">
        <v>3536</v>
      </c>
      <c r="J324" s="293" t="s">
        <v>5075</v>
      </c>
      <c r="K324" s="290" t="s">
        <v>4623</v>
      </c>
      <c r="L324" s="290" t="s">
        <v>4623</v>
      </c>
      <c r="M324" s="290" t="s">
        <v>4623</v>
      </c>
      <c r="N324" s="290" t="s">
        <v>4623</v>
      </c>
      <c r="O324" s="290" t="s">
        <v>4623</v>
      </c>
      <c r="P324" s="290" t="s">
        <v>999</v>
      </c>
      <c r="Q324" s="291" t="s">
        <v>4623</v>
      </c>
      <c r="R324" s="276"/>
      <c r="S324" s="277">
        <f>IF(OR(C324="",C324=T$4),NA(),MATCH($B324&amp;$C324,'Smelter Reference List'!$J:$J,0))</f>
        <v>222</v>
      </c>
      <c r="T324" s="278"/>
      <c r="U324" s="278"/>
      <c r="V324" s="278"/>
      <c r="W324" s="278"/>
    </row>
    <row r="325" spans="1:23" s="269" customFormat="1" ht="20.25">
      <c r="A325" s="267"/>
      <c r="B325" s="275" t="s">
        <v>2436</v>
      </c>
      <c r="C325" s="275" t="s">
        <v>3831</v>
      </c>
      <c r="D325" s="168" t="s">
        <v>5202</v>
      </c>
      <c r="E325" s="168" t="s">
        <v>2294</v>
      </c>
      <c r="F325" s="168" t="s">
        <v>4623</v>
      </c>
      <c r="G325" s="168" t="s">
        <v>4623</v>
      </c>
      <c r="H325" s="292" t="s">
        <v>4623</v>
      </c>
      <c r="I325" s="293" t="s">
        <v>4623</v>
      </c>
      <c r="J325" s="293" t="s">
        <v>4623</v>
      </c>
      <c r="K325" s="290" t="s">
        <v>4623</v>
      </c>
      <c r="L325" s="290" t="s">
        <v>4623</v>
      </c>
      <c r="M325" s="290" t="s">
        <v>4623</v>
      </c>
      <c r="N325" s="290" t="s">
        <v>4623</v>
      </c>
      <c r="O325" s="290" t="s">
        <v>4623</v>
      </c>
      <c r="P325" s="290" t="s">
        <v>999</v>
      </c>
      <c r="Q325" s="291" t="s">
        <v>4623</v>
      </c>
      <c r="R325" s="276"/>
      <c r="S325" s="277">
        <f>IF(OR(C325="",C325=T$4),NA(),MATCH($B325&amp;$C325,'Smelter Reference List'!$J:$J,0))</f>
        <v>222</v>
      </c>
      <c r="T325" s="278"/>
      <c r="U325" s="278"/>
      <c r="V325" s="278"/>
      <c r="W325" s="278"/>
    </row>
    <row r="326" spans="1:23" s="269" customFormat="1" ht="20.25">
      <c r="A326" s="267"/>
      <c r="B326" s="275" t="s">
        <v>2436</v>
      </c>
      <c r="C326" s="275" t="s">
        <v>3831</v>
      </c>
      <c r="D326" s="168" t="s">
        <v>5203</v>
      </c>
      <c r="E326" s="168" t="s">
        <v>2294</v>
      </c>
      <c r="F326" s="168" t="s">
        <v>4623</v>
      </c>
      <c r="G326" s="168" t="s">
        <v>4623</v>
      </c>
      <c r="H326" s="292" t="s">
        <v>4623</v>
      </c>
      <c r="I326" s="293" t="s">
        <v>4623</v>
      </c>
      <c r="J326" s="293" t="s">
        <v>4623</v>
      </c>
      <c r="K326" s="290" t="s">
        <v>4623</v>
      </c>
      <c r="L326" s="290" t="s">
        <v>4623</v>
      </c>
      <c r="M326" s="290" t="s">
        <v>4623</v>
      </c>
      <c r="N326" s="290" t="s">
        <v>4623</v>
      </c>
      <c r="O326" s="290" t="s">
        <v>4623</v>
      </c>
      <c r="P326" s="290" t="s">
        <v>999</v>
      </c>
      <c r="Q326" s="291" t="s">
        <v>4623</v>
      </c>
      <c r="R326" s="276"/>
      <c r="S326" s="277">
        <f>IF(OR(C326="",C326=T$4),NA(),MATCH($B326&amp;$C326,'Smelter Reference List'!$J:$J,0))</f>
        <v>222</v>
      </c>
      <c r="T326" s="278"/>
      <c r="U326" s="278"/>
      <c r="V326" s="278"/>
      <c r="W326" s="278"/>
    </row>
    <row r="327" spans="1:23" s="269" customFormat="1" ht="20.25">
      <c r="A327" s="267"/>
      <c r="B327" s="275" t="s">
        <v>2436</v>
      </c>
      <c r="C327" s="275" t="s">
        <v>3831</v>
      </c>
      <c r="D327" s="168" t="s">
        <v>5204</v>
      </c>
      <c r="E327" s="168" t="s">
        <v>2294</v>
      </c>
      <c r="F327" s="168" t="s">
        <v>4623</v>
      </c>
      <c r="G327" s="168" t="s">
        <v>4623</v>
      </c>
      <c r="H327" s="292" t="s">
        <v>5205</v>
      </c>
      <c r="I327" s="293" t="s">
        <v>3545</v>
      </c>
      <c r="J327" s="293" t="s">
        <v>4623</v>
      </c>
      <c r="K327" s="290" t="s">
        <v>4623</v>
      </c>
      <c r="L327" s="290" t="s">
        <v>4623</v>
      </c>
      <c r="M327" s="290" t="s">
        <v>4623</v>
      </c>
      <c r="N327" s="290" t="s">
        <v>4623</v>
      </c>
      <c r="O327" s="290" t="s">
        <v>5206</v>
      </c>
      <c r="P327" s="290" t="s">
        <v>999</v>
      </c>
      <c r="Q327" s="291" t="s">
        <v>4623</v>
      </c>
      <c r="R327" s="276"/>
      <c r="S327" s="277">
        <f>IF(OR(C327="",C327=T$4),NA(),MATCH($B327&amp;$C327,'Smelter Reference List'!$J:$J,0))</f>
        <v>222</v>
      </c>
      <c r="T327" s="278"/>
      <c r="U327" s="278"/>
      <c r="V327" s="278"/>
      <c r="W327" s="278"/>
    </row>
    <row r="328" spans="1:23" s="269" customFormat="1" ht="20.25">
      <c r="A328" s="267"/>
      <c r="B328" s="275" t="s">
        <v>2436</v>
      </c>
      <c r="C328" s="275" t="s">
        <v>3831</v>
      </c>
      <c r="D328" s="168" t="s">
        <v>5207</v>
      </c>
      <c r="E328" s="168" t="s">
        <v>2294</v>
      </c>
      <c r="F328" s="168" t="s">
        <v>4623</v>
      </c>
      <c r="G328" s="168" t="s">
        <v>4623</v>
      </c>
      <c r="H328" s="292" t="s">
        <v>4623</v>
      </c>
      <c r="I328" s="293" t="s">
        <v>4623</v>
      </c>
      <c r="J328" s="293" t="s">
        <v>4623</v>
      </c>
      <c r="K328" s="290" t="s">
        <v>4623</v>
      </c>
      <c r="L328" s="290" t="s">
        <v>4623</v>
      </c>
      <c r="M328" s="290" t="s">
        <v>4623</v>
      </c>
      <c r="N328" s="290" t="s">
        <v>4623</v>
      </c>
      <c r="O328" s="290" t="s">
        <v>4623</v>
      </c>
      <c r="P328" s="290" t="s">
        <v>999</v>
      </c>
      <c r="Q328" s="291" t="s">
        <v>4623</v>
      </c>
      <c r="R328" s="276"/>
      <c r="S328" s="277">
        <f>IF(OR(C328="",C328=T$4),NA(),MATCH($B328&amp;$C328,'Smelter Reference List'!$J:$J,0))</f>
        <v>222</v>
      </c>
      <c r="T328" s="278"/>
      <c r="U328" s="278"/>
      <c r="V328" s="278"/>
      <c r="W328" s="278"/>
    </row>
    <row r="329" spans="1:23" s="269" customFormat="1" ht="20.25">
      <c r="A329" s="267"/>
      <c r="B329" s="275" t="s">
        <v>2436</v>
      </c>
      <c r="C329" s="275" t="s">
        <v>3831</v>
      </c>
      <c r="D329" s="168" t="s">
        <v>5208</v>
      </c>
      <c r="E329" s="168" t="s">
        <v>2294</v>
      </c>
      <c r="F329" s="168" t="s">
        <v>4623</v>
      </c>
      <c r="G329" s="168" t="s">
        <v>4623</v>
      </c>
      <c r="H329" s="292" t="s">
        <v>4623</v>
      </c>
      <c r="I329" s="293" t="s">
        <v>4623</v>
      </c>
      <c r="J329" s="293" t="s">
        <v>4623</v>
      </c>
      <c r="K329" s="290" t="s">
        <v>4623</v>
      </c>
      <c r="L329" s="290" t="s">
        <v>4623</v>
      </c>
      <c r="M329" s="290" t="s">
        <v>4623</v>
      </c>
      <c r="N329" s="290" t="s">
        <v>4623</v>
      </c>
      <c r="O329" s="290" t="s">
        <v>4623</v>
      </c>
      <c r="P329" s="290" t="s">
        <v>999</v>
      </c>
      <c r="Q329" s="291" t="s">
        <v>4623</v>
      </c>
      <c r="R329" s="276"/>
      <c r="S329" s="277">
        <f>IF(OR(C329="",C329=T$4),NA(),MATCH($B329&amp;$C329,'Smelter Reference List'!$J:$J,0))</f>
        <v>222</v>
      </c>
      <c r="T329" s="278"/>
      <c r="U329" s="278"/>
      <c r="V329" s="278"/>
      <c r="W329" s="278"/>
    </row>
    <row r="330" spans="1:23" s="269" customFormat="1" ht="20.25">
      <c r="A330" s="267"/>
      <c r="B330" s="275" t="s">
        <v>2436</v>
      </c>
      <c r="C330" s="275" t="s">
        <v>3831</v>
      </c>
      <c r="D330" s="168" t="s">
        <v>5209</v>
      </c>
      <c r="E330" s="168" t="s">
        <v>2294</v>
      </c>
      <c r="F330" s="168" t="s">
        <v>4623</v>
      </c>
      <c r="G330" s="168" t="s">
        <v>4623</v>
      </c>
      <c r="H330" s="292" t="s">
        <v>4382</v>
      </c>
      <c r="I330" s="293" t="s">
        <v>5210</v>
      </c>
      <c r="J330" s="293" t="s">
        <v>5211</v>
      </c>
      <c r="K330" s="290" t="s">
        <v>4623</v>
      </c>
      <c r="L330" s="290" t="s">
        <v>4623</v>
      </c>
      <c r="M330" s="290" t="s">
        <v>4623</v>
      </c>
      <c r="N330" s="290" t="s">
        <v>4623</v>
      </c>
      <c r="O330" s="290" t="s">
        <v>4623</v>
      </c>
      <c r="P330" s="290" t="s">
        <v>999</v>
      </c>
      <c r="Q330" s="291" t="s">
        <v>4623</v>
      </c>
      <c r="R330" s="276"/>
      <c r="S330" s="277">
        <f>IF(OR(C330="",C330=T$4),NA(),MATCH($B330&amp;$C330,'Smelter Reference List'!$J:$J,0))</f>
        <v>222</v>
      </c>
      <c r="T330" s="278"/>
      <c r="U330" s="278"/>
      <c r="V330" s="278"/>
      <c r="W330" s="278"/>
    </row>
    <row r="331" spans="1:23" s="269" customFormat="1" ht="20.25">
      <c r="A331" s="267"/>
      <c r="B331" s="275" t="s">
        <v>2436</v>
      </c>
      <c r="C331" s="275" t="s">
        <v>3831</v>
      </c>
      <c r="D331" s="168" t="s">
        <v>5212</v>
      </c>
      <c r="E331" s="168" t="s">
        <v>2294</v>
      </c>
      <c r="F331" s="168" t="s">
        <v>4623</v>
      </c>
      <c r="G331" s="168" t="s">
        <v>4623</v>
      </c>
      <c r="H331" s="292" t="s">
        <v>4623</v>
      </c>
      <c r="I331" s="293" t="s">
        <v>4623</v>
      </c>
      <c r="J331" s="293" t="s">
        <v>4623</v>
      </c>
      <c r="K331" s="290" t="s">
        <v>4623</v>
      </c>
      <c r="L331" s="290" t="s">
        <v>4623</v>
      </c>
      <c r="M331" s="290" t="s">
        <v>4623</v>
      </c>
      <c r="N331" s="290" t="s">
        <v>4623</v>
      </c>
      <c r="O331" s="290" t="s">
        <v>4623</v>
      </c>
      <c r="P331" s="290" t="s">
        <v>999</v>
      </c>
      <c r="Q331" s="291" t="s">
        <v>4623</v>
      </c>
      <c r="R331" s="276"/>
      <c r="S331" s="277">
        <f>IF(OR(C331="",C331=T$4),NA(),MATCH($B331&amp;$C331,'Smelter Reference List'!$J:$J,0))</f>
        <v>222</v>
      </c>
      <c r="T331" s="278"/>
      <c r="U331" s="278"/>
      <c r="V331" s="278"/>
      <c r="W331" s="278"/>
    </row>
    <row r="332" spans="1:23" s="269" customFormat="1" ht="20.25">
      <c r="A332" s="267"/>
      <c r="B332" s="275" t="s">
        <v>2436</v>
      </c>
      <c r="C332" s="275" t="s">
        <v>3831</v>
      </c>
      <c r="D332" s="168" t="s">
        <v>5213</v>
      </c>
      <c r="E332" s="168" t="s">
        <v>2294</v>
      </c>
      <c r="F332" s="168" t="s">
        <v>4623</v>
      </c>
      <c r="G332" s="168" t="s">
        <v>4623</v>
      </c>
      <c r="H332" s="292" t="s">
        <v>4623</v>
      </c>
      <c r="I332" s="293" t="s">
        <v>4623</v>
      </c>
      <c r="J332" s="293" t="s">
        <v>4623</v>
      </c>
      <c r="K332" s="290" t="s">
        <v>4623</v>
      </c>
      <c r="L332" s="290" t="s">
        <v>4623</v>
      </c>
      <c r="M332" s="290" t="s">
        <v>4623</v>
      </c>
      <c r="N332" s="290" t="s">
        <v>4623</v>
      </c>
      <c r="O332" s="290" t="s">
        <v>4623</v>
      </c>
      <c r="P332" s="290" t="s">
        <v>999</v>
      </c>
      <c r="Q332" s="291" t="s">
        <v>4623</v>
      </c>
      <c r="R332" s="276"/>
      <c r="S332" s="277">
        <f>IF(OR(C332="",C332=T$4),NA(),MATCH($B332&amp;$C332,'Smelter Reference List'!$J:$J,0))</f>
        <v>222</v>
      </c>
      <c r="T332" s="278"/>
      <c r="U332" s="278"/>
      <c r="V332" s="278"/>
      <c r="W332" s="278"/>
    </row>
    <row r="333" spans="1:23" s="269" customFormat="1" ht="20.25">
      <c r="A333" s="267"/>
      <c r="B333" s="275" t="s">
        <v>2436</v>
      </c>
      <c r="C333" s="275" t="s">
        <v>3831</v>
      </c>
      <c r="D333" s="168" t="s">
        <v>5214</v>
      </c>
      <c r="E333" s="168" t="s">
        <v>2294</v>
      </c>
      <c r="F333" s="168" t="s">
        <v>4623</v>
      </c>
      <c r="G333" s="168" t="s">
        <v>4623</v>
      </c>
      <c r="H333" s="292" t="s">
        <v>4623</v>
      </c>
      <c r="I333" s="293" t="s">
        <v>4623</v>
      </c>
      <c r="J333" s="293" t="s">
        <v>4623</v>
      </c>
      <c r="K333" s="290" t="s">
        <v>4623</v>
      </c>
      <c r="L333" s="290" t="s">
        <v>4623</v>
      </c>
      <c r="M333" s="290" t="s">
        <v>4623</v>
      </c>
      <c r="N333" s="290" t="s">
        <v>4623</v>
      </c>
      <c r="O333" s="290" t="s">
        <v>4623</v>
      </c>
      <c r="P333" s="290" t="s">
        <v>999</v>
      </c>
      <c r="Q333" s="291" t="s">
        <v>4623</v>
      </c>
      <c r="R333" s="276"/>
      <c r="S333" s="277">
        <f>IF(OR(C333="",C333=T$4),NA(),MATCH($B333&amp;$C333,'Smelter Reference List'!$J:$J,0))</f>
        <v>222</v>
      </c>
      <c r="T333" s="278"/>
      <c r="U333" s="278"/>
      <c r="V333" s="278"/>
      <c r="W333" s="278"/>
    </row>
    <row r="334" spans="1:23" s="269" customFormat="1" ht="20.25">
      <c r="A334" s="267"/>
      <c r="B334" s="275" t="s">
        <v>2436</v>
      </c>
      <c r="C334" s="275" t="s">
        <v>3831</v>
      </c>
      <c r="D334" s="168" t="s">
        <v>5215</v>
      </c>
      <c r="E334" s="168" t="s">
        <v>2294</v>
      </c>
      <c r="F334" s="168" t="s">
        <v>4623</v>
      </c>
      <c r="G334" s="168" t="s">
        <v>4623</v>
      </c>
      <c r="H334" s="292" t="s">
        <v>4623</v>
      </c>
      <c r="I334" s="293" t="s">
        <v>4623</v>
      </c>
      <c r="J334" s="293" t="s">
        <v>4623</v>
      </c>
      <c r="K334" s="290" t="s">
        <v>4623</v>
      </c>
      <c r="L334" s="290" t="s">
        <v>4623</v>
      </c>
      <c r="M334" s="290" t="s">
        <v>4623</v>
      </c>
      <c r="N334" s="290" t="s">
        <v>4623</v>
      </c>
      <c r="O334" s="290" t="s">
        <v>4623</v>
      </c>
      <c r="P334" s="290" t="s">
        <v>999</v>
      </c>
      <c r="Q334" s="291" t="s">
        <v>4623</v>
      </c>
      <c r="R334" s="276"/>
      <c r="S334" s="277">
        <f>IF(OR(C334="",C334=T$4),NA(),MATCH($B334&amp;$C334,'Smelter Reference List'!$J:$J,0))</f>
        <v>222</v>
      </c>
      <c r="T334" s="278"/>
      <c r="U334" s="278"/>
      <c r="V334" s="278"/>
      <c r="W334" s="278"/>
    </row>
    <row r="335" spans="1:23" s="269" customFormat="1" ht="20.25">
      <c r="A335" s="267"/>
      <c r="B335" s="275" t="s">
        <v>2436</v>
      </c>
      <c r="C335" s="275" t="s">
        <v>3831</v>
      </c>
      <c r="D335" s="168" t="s">
        <v>5216</v>
      </c>
      <c r="E335" s="168" t="s">
        <v>2294</v>
      </c>
      <c r="F335" s="168" t="s">
        <v>4623</v>
      </c>
      <c r="G335" s="168" t="s">
        <v>4623</v>
      </c>
      <c r="H335" s="292" t="s">
        <v>4623</v>
      </c>
      <c r="I335" s="293" t="s">
        <v>4623</v>
      </c>
      <c r="J335" s="293" t="s">
        <v>4623</v>
      </c>
      <c r="K335" s="290" t="s">
        <v>4623</v>
      </c>
      <c r="L335" s="290" t="s">
        <v>4623</v>
      </c>
      <c r="M335" s="290" t="s">
        <v>4623</v>
      </c>
      <c r="N335" s="290" t="s">
        <v>4623</v>
      </c>
      <c r="O335" s="290" t="s">
        <v>4623</v>
      </c>
      <c r="P335" s="290" t="s">
        <v>999</v>
      </c>
      <c r="Q335" s="291" t="s">
        <v>4623</v>
      </c>
      <c r="R335" s="276"/>
      <c r="S335" s="277">
        <f>IF(OR(C335="",C335=T$4),NA(),MATCH($B335&amp;$C335,'Smelter Reference List'!$J:$J,0))</f>
        <v>222</v>
      </c>
      <c r="T335" s="278"/>
      <c r="U335" s="278"/>
      <c r="V335" s="278"/>
      <c r="W335" s="278"/>
    </row>
    <row r="336" spans="1:23" s="269" customFormat="1" ht="20.25">
      <c r="A336" s="267"/>
      <c r="B336" s="275" t="s">
        <v>2436</v>
      </c>
      <c r="C336" s="275" t="s">
        <v>3831</v>
      </c>
      <c r="D336" s="168" t="s">
        <v>3497</v>
      </c>
      <c r="E336" s="168" t="s">
        <v>2294</v>
      </c>
      <c r="F336" s="168" t="s">
        <v>4623</v>
      </c>
      <c r="G336" s="168" t="s">
        <v>4623</v>
      </c>
      <c r="H336" s="292" t="s">
        <v>4623</v>
      </c>
      <c r="I336" s="293" t="s">
        <v>4623</v>
      </c>
      <c r="J336" s="293" t="s">
        <v>4623</v>
      </c>
      <c r="K336" s="290" t="s">
        <v>4623</v>
      </c>
      <c r="L336" s="290" t="s">
        <v>4623</v>
      </c>
      <c r="M336" s="290" t="s">
        <v>4623</v>
      </c>
      <c r="N336" s="290" t="s">
        <v>4623</v>
      </c>
      <c r="O336" s="290" t="s">
        <v>4623</v>
      </c>
      <c r="P336" s="290" t="s">
        <v>999</v>
      </c>
      <c r="Q336" s="291" t="s">
        <v>4623</v>
      </c>
      <c r="R336" s="276"/>
      <c r="S336" s="277">
        <f>IF(OR(C336="",C336=T$4),NA(),MATCH($B336&amp;$C336,'Smelter Reference List'!$J:$J,0))</f>
        <v>222</v>
      </c>
      <c r="T336" s="278"/>
      <c r="U336" s="278"/>
      <c r="V336" s="278"/>
      <c r="W336" s="278"/>
    </row>
    <row r="337" spans="1:23" s="269" customFormat="1" ht="20.25">
      <c r="A337" s="267"/>
      <c r="B337" s="275" t="s">
        <v>2436</v>
      </c>
      <c r="C337" s="275" t="s">
        <v>3831</v>
      </c>
      <c r="D337" s="168" t="s">
        <v>5217</v>
      </c>
      <c r="E337" s="168" t="s">
        <v>2294</v>
      </c>
      <c r="F337" s="168" t="s">
        <v>4623</v>
      </c>
      <c r="G337" s="168" t="s">
        <v>4623</v>
      </c>
      <c r="H337" s="292" t="s">
        <v>4623</v>
      </c>
      <c r="I337" s="293" t="s">
        <v>4623</v>
      </c>
      <c r="J337" s="293" t="s">
        <v>4623</v>
      </c>
      <c r="K337" s="290" t="s">
        <v>4623</v>
      </c>
      <c r="L337" s="290" t="s">
        <v>4623</v>
      </c>
      <c r="M337" s="290" t="s">
        <v>4623</v>
      </c>
      <c r="N337" s="290" t="s">
        <v>4623</v>
      </c>
      <c r="O337" s="290" t="s">
        <v>4623</v>
      </c>
      <c r="P337" s="290" t="s">
        <v>999</v>
      </c>
      <c r="Q337" s="291" t="s">
        <v>4623</v>
      </c>
      <c r="R337" s="276"/>
      <c r="S337" s="277">
        <f>IF(OR(C337="",C337=T$4),NA(),MATCH($B337&amp;$C337,'Smelter Reference List'!$J:$J,0))</f>
        <v>222</v>
      </c>
      <c r="T337" s="278"/>
      <c r="U337" s="278"/>
      <c r="V337" s="278"/>
      <c r="W337" s="278"/>
    </row>
    <row r="338" spans="1:23" s="269" customFormat="1" ht="20.25">
      <c r="A338" s="267"/>
      <c r="B338" s="275" t="s">
        <v>2436</v>
      </c>
      <c r="C338" s="275" t="s">
        <v>3831</v>
      </c>
      <c r="D338" s="168" t="s">
        <v>5218</v>
      </c>
      <c r="E338" s="168" t="s">
        <v>2294</v>
      </c>
      <c r="F338" s="168" t="s">
        <v>4623</v>
      </c>
      <c r="G338" s="168" t="s">
        <v>4623</v>
      </c>
      <c r="H338" s="292" t="s">
        <v>5219</v>
      </c>
      <c r="I338" s="293" t="s">
        <v>3389</v>
      </c>
      <c r="J338" s="293" t="s">
        <v>3474</v>
      </c>
      <c r="K338" s="290" t="s">
        <v>5220</v>
      </c>
      <c r="L338" s="290" t="s">
        <v>5221</v>
      </c>
      <c r="M338" s="290" t="s">
        <v>4623</v>
      </c>
      <c r="N338" s="290" t="s">
        <v>4623</v>
      </c>
      <c r="O338" s="290" t="s">
        <v>4623</v>
      </c>
      <c r="P338" s="290" t="s">
        <v>999</v>
      </c>
      <c r="Q338" s="291" t="s">
        <v>4623</v>
      </c>
      <c r="R338" s="276"/>
      <c r="S338" s="277">
        <f>IF(OR(C338="",C338=T$4),NA(),MATCH($B338&amp;$C338,'Smelter Reference List'!$J:$J,0))</f>
        <v>222</v>
      </c>
      <c r="T338" s="278"/>
      <c r="U338" s="278"/>
      <c r="V338" s="278"/>
      <c r="W338" s="278"/>
    </row>
    <row r="339" spans="1:23" s="269" customFormat="1" ht="20.25">
      <c r="A339" s="267"/>
      <c r="B339" s="275" t="s">
        <v>2436</v>
      </c>
      <c r="C339" s="275" t="s">
        <v>3831</v>
      </c>
      <c r="D339" s="168" t="s">
        <v>5222</v>
      </c>
      <c r="E339" s="168" t="s">
        <v>2294</v>
      </c>
      <c r="F339" s="168" t="s">
        <v>4623</v>
      </c>
      <c r="G339" s="168" t="s">
        <v>4623</v>
      </c>
      <c r="H339" s="292" t="s">
        <v>4623</v>
      </c>
      <c r="I339" s="293" t="s">
        <v>4623</v>
      </c>
      <c r="J339" s="293" t="s">
        <v>4623</v>
      </c>
      <c r="K339" s="290" t="s">
        <v>4623</v>
      </c>
      <c r="L339" s="290" t="s">
        <v>4623</v>
      </c>
      <c r="M339" s="290" t="s">
        <v>4623</v>
      </c>
      <c r="N339" s="290" t="s">
        <v>4623</v>
      </c>
      <c r="O339" s="290" t="s">
        <v>4623</v>
      </c>
      <c r="P339" s="290" t="s">
        <v>999</v>
      </c>
      <c r="Q339" s="291" t="s">
        <v>4623</v>
      </c>
      <c r="R339" s="276"/>
      <c r="S339" s="277">
        <f>IF(OR(C339="",C339=T$4),NA(),MATCH($B339&amp;$C339,'Smelter Reference List'!$J:$J,0))</f>
        <v>222</v>
      </c>
      <c r="T339" s="278"/>
      <c r="U339" s="278"/>
      <c r="V339" s="278"/>
      <c r="W339" s="278"/>
    </row>
    <row r="340" spans="1:23" s="269" customFormat="1" ht="20.25">
      <c r="A340" s="267"/>
      <c r="B340" s="275" t="s">
        <v>2436</v>
      </c>
      <c r="C340" s="275" t="s">
        <v>3831</v>
      </c>
      <c r="D340" s="168" t="s">
        <v>5223</v>
      </c>
      <c r="E340" s="168" t="s">
        <v>2294</v>
      </c>
      <c r="F340" s="168" t="s">
        <v>4623</v>
      </c>
      <c r="G340" s="168" t="s">
        <v>4623</v>
      </c>
      <c r="H340" s="292" t="s">
        <v>4623</v>
      </c>
      <c r="I340" s="293" t="s">
        <v>4623</v>
      </c>
      <c r="J340" s="293" t="s">
        <v>4623</v>
      </c>
      <c r="K340" s="290" t="s">
        <v>4623</v>
      </c>
      <c r="L340" s="290" t="s">
        <v>4623</v>
      </c>
      <c r="M340" s="290" t="s">
        <v>4623</v>
      </c>
      <c r="N340" s="290" t="s">
        <v>4623</v>
      </c>
      <c r="O340" s="290" t="s">
        <v>4623</v>
      </c>
      <c r="P340" s="290" t="s">
        <v>999</v>
      </c>
      <c r="Q340" s="291" t="s">
        <v>4623</v>
      </c>
      <c r="R340" s="276"/>
      <c r="S340" s="277">
        <f>IF(OR(C340="",C340=T$4),NA(),MATCH($B340&amp;$C340,'Smelter Reference List'!$J:$J,0))</f>
        <v>222</v>
      </c>
      <c r="T340" s="278"/>
      <c r="U340" s="278"/>
      <c r="V340" s="278"/>
      <c r="W340" s="278"/>
    </row>
    <row r="341" spans="1:23" s="269" customFormat="1" ht="20.25">
      <c r="A341" s="267"/>
      <c r="B341" s="275" t="s">
        <v>2436</v>
      </c>
      <c r="C341" s="275" t="s">
        <v>3831</v>
      </c>
      <c r="D341" s="168" t="s">
        <v>5224</v>
      </c>
      <c r="E341" s="168" t="s">
        <v>2294</v>
      </c>
      <c r="F341" s="168" t="s">
        <v>4623</v>
      </c>
      <c r="G341" s="168" t="s">
        <v>4623</v>
      </c>
      <c r="H341" s="292" t="s">
        <v>4623</v>
      </c>
      <c r="I341" s="293" t="s">
        <v>4623</v>
      </c>
      <c r="J341" s="293" t="s">
        <v>4623</v>
      </c>
      <c r="K341" s="290" t="s">
        <v>4623</v>
      </c>
      <c r="L341" s="290" t="s">
        <v>4623</v>
      </c>
      <c r="M341" s="290" t="s">
        <v>4623</v>
      </c>
      <c r="N341" s="290" t="s">
        <v>4623</v>
      </c>
      <c r="O341" s="290" t="s">
        <v>4623</v>
      </c>
      <c r="P341" s="290" t="s">
        <v>999</v>
      </c>
      <c r="Q341" s="291" t="s">
        <v>4623</v>
      </c>
      <c r="R341" s="276"/>
      <c r="S341" s="277">
        <f>IF(OR(C341="",C341=T$4),NA(),MATCH($B341&amp;$C341,'Smelter Reference List'!$J:$J,0))</f>
        <v>222</v>
      </c>
      <c r="T341" s="278"/>
      <c r="U341" s="278"/>
      <c r="V341" s="278"/>
      <c r="W341" s="278"/>
    </row>
    <row r="342" spans="1:23" s="269" customFormat="1" ht="20.25">
      <c r="A342" s="267"/>
      <c r="B342" s="275" t="s">
        <v>2436</v>
      </c>
      <c r="C342" s="275" t="s">
        <v>3831</v>
      </c>
      <c r="D342" s="168" t="s">
        <v>5225</v>
      </c>
      <c r="E342" s="168" t="s">
        <v>2294</v>
      </c>
      <c r="F342" s="168" t="s">
        <v>4623</v>
      </c>
      <c r="G342" s="168" t="s">
        <v>4623</v>
      </c>
      <c r="H342" s="292" t="s">
        <v>4623</v>
      </c>
      <c r="I342" s="293" t="s">
        <v>4623</v>
      </c>
      <c r="J342" s="293" t="s">
        <v>4623</v>
      </c>
      <c r="K342" s="290" t="s">
        <v>4623</v>
      </c>
      <c r="L342" s="290" t="s">
        <v>4623</v>
      </c>
      <c r="M342" s="290" t="s">
        <v>4623</v>
      </c>
      <c r="N342" s="290" t="s">
        <v>4623</v>
      </c>
      <c r="O342" s="290" t="s">
        <v>4623</v>
      </c>
      <c r="P342" s="290" t="s">
        <v>999</v>
      </c>
      <c r="Q342" s="291" t="s">
        <v>4623</v>
      </c>
      <c r="R342" s="276"/>
      <c r="S342" s="277">
        <f>IF(OR(C342="",C342=T$4),NA(),MATCH($B342&amp;$C342,'Smelter Reference List'!$J:$J,0))</f>
        <v>222</v>
      </c>
      <c r="T342" s="278"/>
      <c r="U342" s="278"/>
      <c r="V342" s="278"/>
      <c r="W342" s="278"/>
    </row>
    <row r="343" spans="1:23" s="269" customFormat="1" ht="20.25">
      <c r="A343" s="267"/>
      <c r="B343" s="275" t="s">
        <v>2436</v>
      </c>
      <c r="C343" s="275" t="s">
        <v>3831</v>
      </c>
      <c r="D343" s="168" t="s">
        <v>5226</v>
      </c>
      <c r="E343" s="168" t="s">
        <v>2294</v>
      </c>
      <c r="F343" s="168" t="s">
        <v>4623</v>
      </c>
      <c r="G343" s="168" t="s">
        <v>4623</v>
      </c>
      <c r="H343" s="292" t="s">
        <v>4623</v>
      </c>
      <c r="I343" s="293" t="s">
        <v>4623</v>
      </c>
      <c r="J343" s="293" t="s">
        <v>4623</v>
      </c>
      <c r="K343" s="290" t="s">
        <v>4623</v>
      </c>
      <c r="L343" s="290" t="s">
        <v>4623</v>
      </c>
      <c r="M343" s="290" t="s">
        <v>4623</v>
      </c>
      <c r="N343" s="290" t="s">
        <v>4623</v>
      </c>
      <c r="O343" s="290" t="s">
        <v>4623</v>
      </c>
      <c r="P343" s="290" t="s">
        <v>999</v>
      </c>
      <c r="Q343" s="291" t="s">
        <v>4623</v>
      </c>
      <c r="R343" s="276"/>
      <c r="S343" s="277">
        <f>IF(OR(C343="",C343=T$4),NA(),MATCH($B343&amp;$C343,'Smelter Reference List'!$J:$J,0))</f>
        <v>222</v>
      </c>
      <c r="T343" s="278"/>
      <c r="U343" s="278"/>
      <c r="V343" s="278"/>
      <c r="W343" s="278"/>
    </row>
    <row r="344" spans="1:23" s="269" customFormat="1" ht="20.25">
      <c r="A344" s="267"/>
      <c r="B344" s="275" t="s">
        <v>2436</v>
      </c>
      <c r="C344" s="275" t="s">
        <v>3831</v>
      </c>
      <c r="D344" s="168" t="s">
        <v>5227</v>
      </c>
      <c r="E344" s="168" t="s">
        <v>2294</v>
      </c>
      <c r="F344" s="168" t="s">
        <v>4623</v>
      </c>
      <c r="G344" s="168" t="s">
        <v>4623</v>
      </c>
      <c r="H344" s="292" t="s">
        <v>5228</v>
      </c>
      <c r="I344" s="293" t="s">
        <v>4623</v>
      </c>
      <c r="J344" s="293" t="s">
        <v>4623</v>
      </c>
      <c r="K344" s="290" t="s">
        <v>4623</v>
      </c>
      <c r="L344" s="290" t="s">
        <v>5229</v>
      </c>
      <c r="M344" s="290" t="s">
        <v>4623</v>
      </c>
      <c r="N344" s="290" t="s">
        <v>4623</v>
      </c>
      <c r="O344" s="290" t="s">
        <v>5230</v>
      </c>
      <c r="P344" s="290" t="s">
        <v>999</v>
      </c>
      <c r="Q344" s="291" t="s">
        <v>4623</v>
      </c>
      <c r="R344" s="276"/>
      <c r="S344" s="277">
        <f>IF(OR(C344="",C344=T$4),NA(),MATCH($B344&amp;$C344,'Smelter Reference List'!$J:$J,0))</f>
        <v>222</v>
      </c>
      <c r="T344" s="278"/>
      <c r="U344" s="278"/>
      <c r="V344" s="278"/>
      <c r="W344" s="278"/>
    </row>
    <row r="345" spans="1:23" s="269" customFormat="1" ht="20.25">
      <c r="A345" s="267"/>
      <c r="B345" s="275" t="s">
        <v>2436</v>
      </c>
      <c r="C345" s="275" t="s">
        <v>3831</v>
      </c>
      <c r="D345" s="168" t="s">
        <v>5231</v>
      </c>
      <c r="E345" s="168" t="s">
        <v>2294</v>
      </c>
      <c r="F345" s="168" t="s">
        <v>4623</v>
      </c>
      <c r="G345" s="168" t="s">
        <v>4623</v>
      </c>
      <c r="H345" s="292" t="s">
        <v>4623</v>
      </c>
      <c r="I345" s="293" t="s">
        <v>4623</v>
      </c>
      <c r="J345" s="293" t="s">
        <v>4623</v>
      </c>
      <c r="K345" s="290" t="s">
        <v>4623</v>
      </c>
      <c r="L345" s="290" t="s">
        <v>4623</v>
      </c>
      <c r="M345" s="290" t="s">
        <v>4623</v>
      </c>
      <c r="N345" s="290" t="s">
        <v>4623</v>
      </c>
      <c r="O345" s="290" t="s">
        <v>4623</v>
      </c>
      <c r="P345" s="290" t="s">
        <v>999</v>
      </c>
      <c r="Q345" s="291" t="s">
        <v>4623</v>
      </c>
      <c r="R345" s="276"/>
      <c r="S345" s="277">
        <f>IF(OR(C345="",C345=T$4),NA(),MATCH($B345&amp;$C345,'Smelter Reference List'!$J:$J,0))</f>
        <v>222</v>
      </c>
      <c r="T345" s="278"/>
      <c r="U345" s="278"/>
      <c r="V345" s="278"/>
      <c r="W345" s="278"/>
    </row>
    <row r="346" spans="1:23" s="269" customFormat="1" ht="20.25">
      <c r="A346" s="267"/>
      <c r="B346" s="275" t="s">
        <v>2436</v>
      </c>
      <c r="C346" s="275" t="s">
        <v>3831</v>
      </c>
      <c r="D346" s="168" t="s">
        <v>5232</v>
      </c>
      <c r="E346" s="168" t="s">
        <v>2294</v>
      </c>
      <c r="F346" s="168" t="s">
        <v>4623</v>
      </c>
      <c r="G346" s="168" t="s">
        <v>4623</v>
      </c>
      <c r="H346" s="292" t="s">
        <v>4623</v>
      </c>
      <c r="I346" s="293" t="s">
        <v>4623</v>
      </c>
      <c r="J346" s="293" t="s">
        <v>4623</v>
      </c>
      <c r="K346" s="290" t="s">
        <v>4623</v>
      </c>
      <c r="L346" s="290" t="s">
        <v>4623</v>
      </c>
      <c r="M346" s="290" t="s">
        <v>4623</v>
      </c>
      <c r="N346" s="290" t="s">
        <v>4623</v>
      </c>
      <c r="O346" s="290" t="s">
        <v>4623</v>
      </c>
      <c r="P346" s="290" t="s">
        <v>999</v>
      </c>
      <c r="Q346" s="291" t="s">
        <v>4623</v>
      </c>
      <c r="R346" s="276"/>
      <c r="S346" s="277">
        <f>IF(OR(C346="",C346=T$4),NA(),MATCH($B346&amp;$C346,'Smelter Reference List'!$J:$J,0))</f>
        <v>222</v>
      </c>
      <c r="T346" s="278"/>
      <c r="U346" s="278"/>
      <c r="V346" s="278"/>
      <c r="W346" s="278"/>
    </row>
    <row r="347" spans="1:23" s="269" customFormat="1" ht="20.25">
      <c r="A347" s="267"/>
      <c r="B347" s="275" t="s">
        <v>2436</v>
      </c>
      <c r="C347" s="275" t="s">
        <v>3831</v>
      </c>
      <c r="D347" s="168" t="s">
        <v>5233</v>
      </c>
      <c r="E347" s="168" t="s">
        <v>2294</v>
      </c>
      <c r="F347" s="168" t="s">
        <v>4623</v>
      </c>
      <c r="G347" s="168" t="s">
        <v>4623</v>
      </c>
      <c r="H347" s="292" t="s">
        <v>4623</v>
      </c>
      <c r="I347" s="293" t="s">
        <v>4623</v>
      </c>
      <c r="J347" s="293" t="s">
        <v>4623</v>
      </c>
      <c r="K347" s="290" t="s">
        <v>4623</v>
      </c>
      <c r="L347" s="290" t="s">
        <v>4623</v>
      </c>
      <c r="M347" s="290" t="s">
        <v>4623</v>
      </c>
      <c r="N347" s="290" t="s">
        <v>4623</v>
      </c>
      <c r="O347" s="290" t="s">
        <v>4623</v>
      </c>
      <c r="P347" s="290" t="s">
        <v>999</v>
      </c>
      <c r="Q347" s="291" t="s">
        <v>4623</v>
      </c>
      <c r="R347" s="276"/>
      <c r="S347" s="277">
        <f>IF(OR(C347="",C347=T$4),NA(),MATCH($B347&amp;$C347,'Smelter Reference List'!$J:$J,0))</f>
        <v>222</v>
      </c>
      <c r="T347" s="278"/>
      <c r="U347" s="278"/>
      <c r="V347" s="278"/>
      <c r="W347" s="278"/>
    </row>
    <row r="348" spans="1:23" s="269" customFormat="1" ht="20.25">
      <c r="A348" s="267"/>
      <c r="B348" s="275" t="s">
        <v>2436</v>
      </c>
      <c r="C348" s="275" t="s">
        <v>3831</v>
      </c>
      <c r="D348" s="168" t="s">
        <v>5234</v>
      </c>
      <c r="E348" s="168" t="s">
        <v>2294</v>
      </c>
      <c r="F348" s="168" t="s">
        <v>4623</v>
      </c>
      <c r="G348" s="168" t="s">
        <v>4623</v>
      </c>
      <c r="H348" s="292" t="s">
        <v>4623</v>
      </c>
      <c r="I348" s="293" t="s">
        <v>4623</v>
      </c>
      <c r="J348" s="293" t="s">
        <v>4623</v>
      </c>
      <c r="K348" s="290" t="s">
        <v>4623</v>
      </c>
      <c r="L348" s="290" t="s">
        <v>4623</v>
      </c>
      <c r="M348" s="290" t="s">
        <v>4623</v>
      </c>
      <c r="N348" s="290" t="s">
        <v>4623</v>
      </c>
      <c r="O348" s="290" t="s">
        <v>4623</v>
      </c>
      <c r="P348" s="290" t="s">
        <v>999</v>
      </c>
      <c r="Q348" s="291" t="s">
        <v>4623</v>
      </c>
      <c r="R348" s="276"/>
      <c r="S348" s="277">
        <f>IF(OR(C348="",C348=T$4),NA(),MATCH($B348&amp;$C348,'Smelter Reference List'!$J:$J,0))</f>
        <v>222</v>
      </c>
      <c r="T348" s="278"/>
      <c r="U348" s="278"/>
      <c r="V348" s="278"/>
      <c r="W348" s="278"/>
    </row>
    <row r="349" spans="1:23" s="269" customFormat="1" ht="20.25">
      <c r="A349" s="267"/>
      <c r="B349" s="275" t="s">
        <v>2436</v>
      </c>
      <c r="C349" s="275" t="s">
        <v>3831</v>
      </c>
      <c r="D349" s="168" t="s">
        <v>5235</v>
      </c>
      <c r="E349" s="168" t="s">
        <v>2294</v>
      </c>
      <c r="F349" s="168" t="s">
        <v>4623</v>
      </c>
      <c r="G349" s="168" t="s">
        <v>4623</v>
      </c>
      <c r="H349" s="292" t="s">
        <v>4623</v>
      </c>
      <c r="I349" s="293" t="s">
        <v>4623</v>
      </c>
      <c r="J349" s="293" t="s">
        <v>4623</v>
      </c>
      <c r="K349" s="290" t="s">
        <v>4623</v>
      </c>
      <c r="L349" s="290" t="s">
        <v>4623</v>
      </c>
      <c r="M349" s="290" t="s">
        <v>4623</v>
      </c>
      <c r="N349" s="290" t="s">
        <v>4623</v>
      </c>
      <c r="O349" s="290" t="s">
        <v>4623</v>
      </c>
      <c r="P349" s="290" t="s">
        <v>999</v>
      </c>
      <c r="Q349" s="291" t="s">
        <v>4623</v>
      </c>
      <c r="R349" s="276"/>
      <c r="S349" s="277">
        <f>IF(OR(C349="",C349=T$4),NA(),MATCH($B349&amp;$C349,'Smelter Reference List'!$J:$J,0))</f>
        <v>222</v>
      </c>
      <c r="T349" s="278"/>
      <c r="U349" s="278"/>
      <c r="V349" s="278"/>
      <c r="W349" s="278"/>
    </row>
    <row r="350" spans="1:23" s="269" customFormat="1" ht="20.25">
      <c r="A350" s="267"/>
      <c r="B350" s="275" t="s">
        <v>2436</v>
      </c>
      <c r="C350" s="275" t="s">
        <v>3831</v>
      </c>
      <c r="D350" s="168" t="s">
        <v>5236</v>
      </c>
      <c r="E350" s="168" t="s">
        <v>2294</v>
      </c>
      <c r="F350" s="168" t="s">
        <v>4623</v>
      </c>
      <c r="G350" s="168" t="s">
        <v>4623</v>
      </c>
      <c r="H350" s="292" t="s">
        <v>4623</v>
      </c>
      <c r="I350" s="293" t="s">
        <v>4623</v>
      </c>
      <c r="J350" s="293" t="s">
        <v>4623</v>
      </c>
      <c r="K350" s="290" t="s">
        <v>4623</v>
      </c>
      <c r="L350" s="290" t="s">
        <v>4623</v>
      </c>
      <c r="M350" s="290" t="s">
        <v>4623</v>
      </c>
      <c r="N350" s="290" t="s">
        <v>4623</v>
      </c>
      <c r="O350" s="290" t="s">
        <v>4623</v>
      </c>
      <c r="P350" s="290" t="s">
        <v>999</v>
      </c>
      <c r="Q350" s="291" t="s">
        <v>4623</v>
      </c>
      <c r="R350" s="276"/>
      <c r="S350" s="277">
        <f>IF(OR(C350="",C350=T$4),NA(),MATCH($B350&amp;$C350,'Smelter Reference List'!$J:$J,0))</f>
        <v>222</v>
      </c>
      <c r="T350" s="278"/>
      <c r="U350" s="278"/>
      <c r="V350" s="278"/>
      <c r="W350" s="278"/>
    </row>
    <row r="351" spans="1:23" s="269" customFormat="1" ht="20.25">
      <c r="A351" s="267"/>
      <c r="B351" s="275" t="s">
        <v>2436</v>
      </c>
      <c r="C351" s="275" t="s">
        <v>3831</v>
      </c>
      <c r="D351" s="168" t="s">
        <v>5237</v>
      </c>
      <c r="E351" s="168" t="s">
        <v>2294</v>
      </c>
      <c r="F351" s="168" t="s">
        <v>4623</v>
      </c>
      <c r="G351" s="168" t="s">
        <v>4623</v>
      </c>
      <c r="H351" s="292" t="s">
        <v>4623</v>
      </c>
      <c r="I351" s="293" t="s">
        <v>4623</v>
      </c>
      <c r="J351" s="293" t="s">
        <v>4623</v>
      </c>
      <c r="K351" s="290" t="s">
        <v>4623</v>
      </c>
      <c r="L351" s="290" t="s">
        <v>4623</v>
      </c>
      <c r="M351" s="290" t="s">
        <v>4623</v>
      </c>
      <c r="N351" s="290" t="s">
        <v>4623</v>
      </c>
      <c r="O351" s="290" t="s">
        <v>4623</v>
      </c>
      <c r="P351" s="290" t="s">
        <v>999</v>
      </c>
      <c r="Q351" s="291" t="s">
        <v>4623</v>
      </c>
      <c r="R351" s="276"/>
      <c r="S351" s="277">
        <f>IF(OR(C351="",C351=T$4),NA(),MATCH($B351&amp;$C351,'Smelter Reference List'!$J:$J,0))</f>
        <v>222</v>
      </c>
      <c r="T351" s="278"/>
      <c r="U351" s="278"/>
      <c r="V351" s="278"/>
      <c r="W351" s="278"/>
    </row>
    <row r="352" spans="1:23" s="269" customFormat="1" ht="20.25">
      <c r="A352" s="267"/>
      <c r="B352" s="275" t="s">
        <v>2436</v>
      </c>
      <c r="C352" s="275" t="s">
        <v>3831</v>
      </c>
      <c r="D352" s="168" t="s">
        <v>4847</v>
      </c>
      <c r="E352" s="168" t="s">
        <v>2294</v>
      </c>
      <c r="F352" s="168" t="s">
        <v>4623</v>
      </c>
      <c r="G352" s="168" t="s">
        <v>4623</v>
      </c>
      <c r="H352" s="292" t="s">
        <v>4623</v>
      </c>
      <c r="I352" s="293" t="s">
        <v>4623</v>
      </c>
      <c r="J352" s="293" t="s">
        <v>4623</v>
      </c>
      <c r="K352" s="290" t="s">
        <v>4623</v>
      </c>
      <c r="L352" s="290" t="s">
        <v>4623</v>
      </c>
      <c r="M352" s="290" t="s">
        <v>4623</v>
      </c>
      <c r="N352" s="290" t="s">
        <v>4623</v>
      </c>
      <c r="O352" s="290" t="s">
        <v>4623</v>
      </c>
      <c r="P352" s="290" t="s">
        <v>999</v>
      </c>
      <c r="Q352" s="291" t="s">
        <v>4623</v>
      </c>
      <c r="R352" s="276"/>
      <c r="S352" s="277">
        <f>IF(OR(C352="",C352=T$4),NA(),MATCH($B352&amp;$C352,'Smelter Reference List'!$J:$J,0))</f>
        <v>222</v>
      </c>
      <c r="T352" s="278"/>
      <c r="U352" s="278"/>
      <c r="V352" s="278"/>
      <c r="W352" s="278"/>
    </row>
    <row r="353" spans="1:23" s="269" customFormat="1" ht="20.25">
      <c r="A353" s="267"/>
      <c r="B353" s="275" t="s">
        <v>2436</v>
      </c>
      <c r="C353" s="275" t="s">
        <v>3831</v>
      </c>
      <c r="D353" s="168" t="s">
        <v>5238</v>
      </c>
      <c r="E353" s="168" t="s">
        <v>2294</v>
      </c>
      <c r="F353" s="168" t="s">
        <v>4623</v>
      </c>
      <c r="G353" s="168" t="s">
        <v>4623</v>
      </c>
      <c r="H353" s="292" t="s">
        <v>4623</v>
      </c>
      <c r="I353" s="293" t="s">
        <v>4623</v>
      </c>
      <c r="J353" s="293" t="s">
        <v>4623</v>
      </c>
      <c r="K353" s="290" t="s">
        <v>4623</v>
      </c>
      <c r="L353" s="290" t="s">
        <v>4623</v>
      </c>
      <c r="M353" s="290" t="s">
        <v>4623</v>
      </c>
      <c r="N353" s="290" t="s">
        <v>4623</v>
      </c>
      <c r="O353" s="290" t="s">
        <v>4623</v>
      </c>
      <c r="P353" s="290" t="s">
        <v>999</v>
      </c>
      <c r="Q353" s="291" t="s">
        <v>4623</v>
      </c>
      <c r="R353" s="276"/>
      <c r="S353" s="277">
        <f>IF(OR(C353="",C353=T$4),NA(),MATCH($B353&amp;$C353,'Smelter Reference List'!$J:$J,0))</f>
        <v>222</v>
      </c>
      <c r="T353" s="278"/>
      <c r="U353" s="278"/>
      <c r="V353" s="278"/>
      <c r="W353" s="278"/>
    </row>
    <row r="354" spans="1:23" s="269" customFormat="1" ht="20.25">
      <c r="A354" s="267"/>
      <c r="B354" s="275" t="s">
        <v>2436</v>
      </c>
      <c r="C354" s="275" t="s">
        <v>3831</v>
      </c>
      <c r="D354" s="168" t="s">
        <v>5239</v>
      </c>
      <c r="E354" s="168" t="s">
        <v>2294</v>
      </c>
      <c r="F354" s="168" t="s">
        <v>4623</v>
      </c>
      <c r="G354" s="168" t="s">
        <v>4623</v>
      </c>
      <c r="H354" s="292" t="s">
        <v>4623</v>
      </c>
      <c r="I354" s="293" t="s">
        <v>4623</v>
      </c>
      <c r="J354" s="293" t="s">
        <v>4623</v>
      </c>
      <c r="K354" s="290" t="s">
        <v>4623</v>
      </c>
      <c r="L354" s="290" t="s">
        <v>4623</v>
      </c>
      <c r="M354" s="290" t="s">
        <v>4623</v>
      </c>
      <c r="N354" s="290" t="s">
        <v>4623</v>
      </c>
      <c r="O354" s="290" t="s">
        <v>4623</v>
      </c>
      <c r="P354" s="290" t="s">
        <v>999</v>
      </c>
      <c r="Q354" s="291" t="s">
        <v>4623</v>
      </c>
      <c r="R354" s="276"/>
      <c r="S354" s="277">
        <f>IF(OR(C354="",C354=T$4),NA(),MATCH($B354&amp;$C354,'Smelter Reference List'!$J:$J,0))</f>
        <v>222</v>
      </c>
      <c r="T354" s="278"/>
      <c r="U354" s="278"/>
      <c r="V354" s="278"/>
      <c r="W354" s="278"/>
    </row>
    <row r="355" spans="1:23" s="269" customFormat="1" ht="20.25">
      <c r="A355" s="267"/>
      <c r="B355" s="275" t="s">
        <v>2436</v>
      </c>
      <c r="C355" s="275" t="s">
        <v>3831</v>
      </c>
      <c r="D355" s="168" t="s">
        <v>5240</v>
      </c>
      <c r="E355" s="168" t="s">
        <v>2294</v>
      </c>
      <c r="F355" s="168" t="s">
        <v>4623</v>
      </c>
      <c r="G355" s="168" t="s">
        <v>4623</v>
      </c>
      <c r="H355" s="292" t="s">
        <v>4623</v>
      </c>
      <c r="I355" s="293" t="s">
        <v>4623</v>
      </c>
      <c r="J355" s="293" t="s">
        <v>4623</v>
      </c>
      <c r="K355" s="290" t="s">
        <v>4623</v>
      </c>
      <c r="L355" s="290" t="s">
        <v>4623</v>
      </c>
      <c r="M355" s="290" t="s">
        <v>4623</v>
      </c>
      <c r="N355" s="290" t="s">
        <v>4623</v>
      </c>
      <c r="O355" s="290" t="s">
        <v>4623</v>
      </c>
      <c r="P355" s="290" t="s">
        <v>999</v>
      </c>
      <c r="Q355" s="291" t="s">
        <v>4623</v>
      </c>
      <c r="R355" s="276"/>
      <c r="S355" s="277">
        <f>IF(OR(C355="",C355=T$4),NA(),MATCH($B355&amp;$C355,'Smelter Reference List'!$J:$J,0))</f>
        <v>222</v>
      </c>
      <c r="T355" s="278"/>
      <c r="U355" s="278"/>
      <c r="V355" s="278"/>
      <c r="W355" s="278"/>
    </row>
    <row r="356" spans="1:23" s="269" customFormat="1" ht="20.25">
      <c r="A356" s="267"/>
      <c r="B356" s="275" t="s">
        <v>2436</v>
      </c>
      <c r="C356" s="275" t="s">
        <v>3831</v>
      </c>
      <c r="D356" s="168" t="s">
        <v>5241</v>
      </c>
      <c r="E356" s="168" t="s">
        <v>2294</v>
      </c>
      <c r="F356" s="168" t="s">
        <v>4623</v>
      </c>
      <c r="G356" s="168" t="s">
        <v>4623</v>
      </c>
      <c r="H356" s="292" t="s">
        <v>4623</v>
      </c>
      <c r="I356" s="293" t="s">
        <v>4623</v>
      </c>
      <c r="J356" s="293" t="s">
        <v>4623</v>
      </c>
      <c r="K356" s="290" t="s">
        <v>4623</v>
      </c>
      <c r="L356" s="290" t="s">
        <v>4623</v>
      </c>
      <c r="M356" s="290" t="s">
        <v>4623</v>
      </c>
      <c r="N356" s="290" t="s">
        <v>4623</v>
      </c>
      <c r="O356" s="290" t="s">
        <v>4623</v>
      </c>
      <c r="P356" s="290" t="s">
        <v>999</v>
      </c>
      <c r="Q356" s="291" t="s">
        <v>4623</v>
      </c>
      <c r="R356" s="276"/>
      <c r="S356" s="277">
        <f>IF(OR(C356="",C356=T$4),NA(),MATCH($B356&amp;$C356,'Smelter Reference List'!$J:$J,0))</f>
        <v>222</v>
      </c>
      <c r="T356" s="278"/>
      <c r="U356" s="278"/>
      <c r="V356" s="278"/>
      <c r="W356" s="278"/>
    </row>
    <row r="357" spans="1:23" s="269" customFormat="1" ht="20.25">
      <c r="A357" s="267"/>
      <c r="B357" s="275" t="s">
        <v>2436</v>
      </c>
      <c r="C357" s="275" t="s">
        <v>3831</v>
      </c>
      <c r="D357" s="168" t="s">
        <v>5242</v>
      </c>
      <c r="E357" s="168" t="s">
        <v>2294</v>
      </c>
      <c r="F357" s="168" t="s">
        <v>4623</v>
      </c>
      <c r="G357" s="168" t="s">
        <v>4623</v>
      </c>
      <c r="H357" s="292" t="s">
        <v>4623</v>
      </c>
      <c r="I357" s="293" t="s">
        <v>4623</v>
      </c>
      <c r="J357" s="293" t="s">
        <v>4623</v>
      </c>
      <c r="K357" s="290" t="s">
        <v>4623</v>
      </c>
      <c r="L357" s="290" t="s">
        <v>4623</v>
      </c>
      <c r="M357" s="290" t="s">
        <v>4623</v>
      </c>
      <c r="N357" s="290" t="s">
        <v>4623</v>
      </c>
      <c r="O357" s="290" t="s">
        <v>4623</v>
      </c>
      <c r="P357" s="290" t="s">
        <v>999</v>
      </c>
      <c r="Q357" s="291" t="s">
        <v>4623</v>
      </c>
      <c r="R357" s="276"/>
      <c r="S357" s="277">
        <f>IF(OR(C357="",C357=T$4),NA(),MATCH($B357&amp;$C357,'Smelter Reference List'!$J:$J,0))</f>
        <v>222</v>
      </c>
      <c r="T357" s="278"/>
      <c r="U357" s="278"/>
      <c r="V357" s="278"/>
      <c r="W357" s="278"/>
    </row>
    <row r="358" spans="1:23" s="269" customFormat="1" ht="20.25">
      <c r="A358" s="267"/>
      <c r="B358" s="275" t="s">
        <v>2436</v>
      </c>
      <c r="C358" s="275" t="s">
        <v>3831</v>
      </c>
      <c r="D358" s="168" t="s">
        <v>5243</v>
      </c>
      <c r="E358" s="168" t="s">
        <v>2294</v>
      </c>
      <c r="F358" s="168" t="s">
        <v>4623</v>
      </c>
      <c r="G358" s="168" t="s">
        <v>4623</v>
      </c>
      <c r="H358" s="292" t="s">
        <v>4623</v>
      </c>
      <c r="I358" s="293" t="s">
        <v>4623</v>
      </c>
      <c r="J358" s="293" t="s">
        <v>4623</v>
      </c>
      <c r="K358" s="290" t="s">
        <v>4623</v>
      </c>
      <c r="L358" s="290" t="s">
        <v>4623</v>
      </c>
      <c r="M358" s="290" t="s">
        <v>4623</v>
      </c>
      <c r="N358" s="290" t="s">
        <v>4623</v>
      </c>
      <c r="O358" s="290" t="s">
        <v>4623</v>
      </c>
      <c r="P358" s="290" t="s">
        <v>999</v>
      </c>
      <c r="Q358" s="291" t="s">
        <v>4623</v>
      </c>
      <c r="R358" s="276"/>
      <c r="S358" s="277">
        <f>IF(OR(C358="",C358=T$4),NA(),MATCH($B358&amp;$C358,'Smelter Reference List'!$J:$J,0))</f>
        <v>222</v>
      </c>
      <c r="T358" s="278"/>
      <c r="U358" s="278"/>
      <c r="V358" s="278"/>
      <c r="W358" s="278"/>
    </row>
    <row r="359" spans="1:23" s="269" customFormat="1" ht="20.25">
      <c r="A359" s="267"/>
      <c r="B359" s="275" t="s">
        <v>2436</v>
      </c>
      <c r="C359" s="275" t="s">
        <v>3831</v>
      </c>
      <c r="D359" s="168" t="s">
        <v>5244</v>
      </c>
      <c r="E359" s="168" t="s">
        <v>2294</v>
      </c>
      <c r="F359" s="168" t="s">
        <v>4623</v>
      </c>
      <c r="G359" s="168" t="s">
        <v>4623</v>
      </c>
      <c r="H359" s="292" t="s">
        <v>5245</v>
      </c>
      <c r="I359" s="293" t="s">
        <v>5246</v>
      </c>
      <c r="J359" s="293" t="s">
        <v>4969</v>
      </c>
      <c r="K359" s="290" t="s">
        <v>4623</v>
      </c>
      <c r="L359" s="290" t="s">
        <v>4623</v>
      </c>
      <c r="M359" s="290" t="s">
        <v>4623</v>
      </c>
      <c r="N359" s="290" t="s">
        <v>4623</v>
      </c>
      <c r="O359" s="290" t="s">
        <v>4623</v>
      </c>
      <c r="P359" s="290" t="s">
        <v>999</v>
      </c>
      <c r="Q359" s="291" t="s">
        <v>4623</v>
      </c>
      <c r="R359" s="276"/>
      <c r="S359" s="277">
        <f>IF(OR(C359="",C359=T$4),NA(),MATCH($B359&amp;$C359,'Smelter Reference List'!$J:$J,0))</f>
        <v>222</v>
      </c>
      <c r="T359" s="278"/>
      <c r="U359" s="278"/>
      <c r="V359" s="278"/>
      <c r="W359" s="278"/>
    </row>
    <row r="360" spans="1:23" s="269" customFormat="1" ht="20.25">
      <c r="A360" s="267"/>
      <c r="B360" s="275" t="s">
        <v>2436</v>
      </c>
      <c r="C360" s="275" t="s">
        <v>3831</v>
      </c>
      <c r="D360" s="168" t="s">
        <v>5247</v>
      </c>
      <c r="E360" s="168" t="s">
        <v>2294</v>
      </c>
      <c r="F360" s="168" t="s">
        <v>4623</v>
      </c>
      <c r="G360" s="168" t="s">
        <v>4623</v>
      </c>
      <c r="H360" s="292" t="s">
        <v>4623</v>
      </c>
      <c r="I360" s="293" t="s">
        <v>4623</v>
      </c>
      <c r="J360" s="293" t="s">
        <v>4623</v>
      </c>
      <c r="K360" s="290" t="s">
        <v>4623</v>
      </c>
      <c r="L360" s="290" t="s">
        <v>4623</v>
      </c>
      <c r="M360" s="290" t="s">
        <v>4623</v>
      </c>
      <c r="N360" s="290" t="s">
        <v>4623</v>
      </c>
      <c r="O360" s="290" t="s">
        <v>4623</v>
      </c>
      <c r="P360" s="290" t="s">
        <v>999</v>
      </c>
      <c r="Q360" s="291" t="s">
        <v>4623</v>
      </c>
      <c r="R360" s="276"/>
      <c r="S360" s="277">
        <f>IF(OR(C360="",C360=T$4),NA(),MATCH($B360&amp;$C360,'Smelter Reference List'!$J:$J,0))</f>
        <v>222</v>
      </c>
      <c r="T360" s="278"/>
      <c r="U360" s="278"/>
      <c r="V360" s="278"/>
      <c r="W360" s="278"/>
    </row>
    <row r="361" spans="1:23" s="269" customFormat="1" ht="20.25">
      <c r="A361" s="267"/>
      <c r="B361" s="275" t="s">
        <v>2436</v>
      </c>
      <c r="C361" s="275" t="s">
        <v>3831</v>
      </c>
      <c r="D361" s="168" t="s">
        <v>5248</v>
      </c>
      <c r="E361" s="168" t="s">
        <v>2294</v>
      </c>
      <c r="F361" s="168" t="s">
        <v>4623</v>
      </c>
      <c r="G361" s="168" t="s">
        <v>4623</v>
      </c>
      <c r="H361" s="292" t="s">
        <v>4623</v>
      </c>
      <c r="I361" s="293" t="s">
        <v>4623</v>
      </c>
      <c r="J361" s="293" t="s">
        <v>4623</v>
      </c>
      <c r="K361" s="290" t="s">
        <v>4623</v>
      </c>
      <c r="L361" s="290" t="s">
        <v>4623</v>
      </c>
      <c r="M361" s="290" t="s">
        <v>4623</v>
      </c>
      <c r="N361" s="290" t="s">
        <v>4623</v>
      </c>
      <c r="O361" s="290" t="s">
        <v>4623</v>
      </c>
      <c r="P361" s="290" t="s">
        <v>999</v>
      </c>
      <c r="Q361" s="291" t="s">
        <v>4623</v>
      </c>
      <c r="R361" s="276"/>
      <c r="S361" s="277">
        <f>IF(OR(C361="",C361=T$4),NA(),MATCH($B361&amp;$C361,'Smelter Reference List'!$J:$J,0))</f>
        <v>222</v>
      </c>
      <c r="T361" s="278"/>
      <c r="U361" s="278"/>
      <c r="V361" s="278"/>
      <c r="W361" s="278"/>
    </row>
    <row r="362" spans="1:23" s="269" customFormat="1" ht="20.25">
      <c r="A362" s="267"/>
      <c r="B362" s="275" t="s">
        <v>2436</v>
      </c>
      <c r="C362" s="275" t="s">
        <v>3831</v>
      </c>
      <c r="D362" s="168" t="s">
        <v>5249</v>
      </c>
      <c r="E362" s="168" t="s">
        <v>2294</v>
      </c>
      <c r="F362" s="168" t="s">
        <v>4623</v>
      </c>
      <c r="G362" s="168" t="s">
        <v>4623</v>
      </c>
      <c r="H362" s="292" t="s">
        <v>4623</v>
      </c>
      <c r="I362" s="293" t="s">
        <v>4623</v>
      </c>
      <c r="J362" s="293" t="s">
        <v>4623</v>
      </c>
      <c r="K362" s="290" t="s">
        <v>4623</v>
      </c>
      <c r="L362" s="290" t="s">
        <v>4623</v>
      </c>
      <c r="M362" s="290" t="s">
        <v>4623</v>
      </c>
      <c r="N362" s="290" t="s">
        <v>4623</v>
      </c>
      <c r="O362" s="290" t="s">
        <v>4623</v>
      </c>
      <c r="P362" s="290" t="s">
        <v>999</v>
      </c>
      <c r="Q362" s="291" t="s">
        <v>4623</v>
      </c>
      <c r="R362" s="276"/>
      <c r="S362" s="277">
        <f>IF(OR(C362="",C362=T$4),NA(),MATCH($B362&amp;$C362,'Smelter Reference List'!$J:$J,0))</f>
        <v>222</v>
      </c>
      <c r="T362" s="278"/>
      <c r="U362" s="278"/>
      <c r="V362" s="278"/>
      <c r="W362" s="278"/>
    </row>
    <row r="363" spans="1:23" s="269" customFormat="1" ht="20.25">
      <c r="A363" s="267"/>
      <c r="B363" s="275" t="s">
        <v>2436</v>
      </c>
      <c r="C363" s="275" t="s">
        <v>3831</v>
      </c>
      <c r="D363" s="168" t="s">
        <v>5250</v>
      </c>
      <c r="E363" s="168" t="s">
        <v>2294</v>
      </c>
      <c r="F363" s="168" t="s">
        <v>4623</v>
      </c>
      <c r="G363" s="168" t="s">
        <v>4623</v>
      </c>
      <c r="H363" s="292" t="s">
        <v>5251</v>
      </c>
      <c r="I363" s="293" t="s">
        <v>4623</v>
      </c>
      <c r="J363" s="293" t="s">
        <v>4623</v>
      </c>
      <c r="K363" s="290" t="s">
        <v>4623</v>
      </c>
      <c r="L363" s="290" t="s">
        <v>4623</v>
      </c>
      <c r="M363" s="290" t="s">
        <v>4623</v>
      </c>
      <c r="N363" s="290" t="s">
        <v>4623</v>
      </c>
      <c r="O363" s="290" t="s">
        <v>4623</v>
      </c>
      <c r="P363" s="290" t="s">
        <v>999</v>
      </c>
      <c r="Q363" s="291" t="s">
        <v>4623</v>
      </c>
      <c r="R363" s="276"/>
      <c r="S363" s="277">
        <f>IF(OR(C363="",C363=T$4),NA(),MATCH($B363&amp;$C363,'Smelter Reference List'!$J:$J,0))</f>
        <v>222</v>
      </c>
      <c r="T363" s="278"/>
      <c r="U363" s="278"/>
      <c r="V363" s="278"/>
      <c r="W363" s="278"/>
    </row>
    <row r="364" spans="1:23" s="269" customFormat="1" ht="20.25">
      <c r="A364" s="267"/>
      <c r="B364" s="275" t="s">
        <v>2436</v>
      </c>
      <c r="C364" s="275" t="s">
        <v>3831</v>
      </c>
      <c r="D364" s="168" t="s">
        <v>5252</v>
      </c>
      <c r="E364" s="168" t="s">
        <v>2294</v>
      </c>
      <c r="F364" s="168" t="s">
        <v>4623</v>
      </c>
      <c r="G364" s="168" t="s">
        <v>4623</v>
      </c>
      <c r="H364" s="292" t="s">
        <v>4623</v>
      </c>
      <c r="I364" s="293" t="s">
        <v>4623</v>
      </c>
      <c r="J364" s="293" t="s">
        <v>4623</v>
      </c>
      <c r="K364" s="290" t="s">
        <v>4623</v>
      </c>
      <c r="L364" s="290" t="s">
        <v>4623</v>
      </c>
      <c r="M364" s="290" t="s">
        <v>4623</v>
      </c>
      <c r="N364" s="290" t="s">
        <v>4623</v>
      </c>
      <c r="O364" s="290" t="s">
        <v>4623</v>
      </c>
      <c r="P364" s="290" t="s">
        <v>999</v>
      </c>
      <c r="Q364" s="291" t="s">
        <v>4623</v>
      </c>
      <c r="R364" s="276"/>
      <c r="S364" s="277">
        <f>IF(OR(C364="",C364=T$4),NA(),MATCH($B364&amp;$C364,'Smelter Reference List'!$J:$J,0))</f>
        <v>222</v>
      </c>
      <c r="T364" s="278"/>
      <c r="U364" s="278"/>
      <c r="V364" s="278"/>
      <c r="W364" s="278"/>
    </row>
    <row r="365" spans="1:23" s="269" customFormat="1" ht="20.25">
      <c r="A365" s="267"/>
      <c r="B365" s="275" t="s">
        <v>2436</v>
      </c>
      <c r="C365" s="275" t="s">
        <v>3831</v>
      </c>
      <c r="D365" s="168" t="s">
        <v>5253</v>
      </c>
      <c r="E365" s="168" t="s">
        <v>2294</v>
      </c>
      <c r="F365" s="168" t="s">
        <v>4623</v>
      </c>
      <c r="G365" s="168" t="s">
        <v>4623</v>
      </c>
      <c r="H365" s="292" t="s">
        <v>4623</v>
      </c>
      <c r="I365" s="293" t="s">
        <v>4623</v>
      </c>
      <c r="J365" s="293" t="s">
        <v>5254</v>
      </c>
      <c r="K365" s="290" t="s">
        <v>4623</v>
      </c>
      <c r="L365" s="290" t="s">
        <v>4623</v>
      </c>
      <c r="M365" s="290" t="s">
        <v>4623</v>
      </c>
      <c r="N365" s="290" t="s">
        <v>4623</v>
      </c>
      <c r="O365" s="290" t="s">
        <v>4623</v>
      </c>
      <c r="P365" s="290" t="s">
        <v>999</v>
      </c>
      <c r="Q365" s="291" t="s">
        <v>4623</v>
      </c>
      <c r="R365" s="276"/>
      <c r="S365" s="277">
        <f>IF(OR(C365="",C365=T$4),NA(),MATCH($B365&amp;$C365,'Smelter Reference List'!$J:$J,0))</f>
        <v>222</v>
      </c>
      <c r="T365" s="278"/>
      <c r="U365" s="278"/>
      <c r="V365" s="278"/>
      <c r="W365" s="278"/>
    </row>
    <row r="366" spans="1:23" s="269" customFormat="1" ht="20.25">
      <c r="A366" s="267"/>
      <c r="B366" s="275" t="s">
        <v>2436</v>
      </c>
      <c r="C366" s="275" t="s">
        <v>3831</v>
      </c>
      <c r="D366" s="168" t="s">
        <v>5255</v>
      </c>
      <c r="E366" s="168" t="s">
        <v>2294</v>
      </c>
      <c r="F366" s="168" t="s">
        <v>4623</v>
      </c>
      <c r="G366" s="168" t="s">
        <v>4623</v>
      </c>
      <c r="H366" s="292" t="s">
        <v>4623</v>
      </c>
      <c r="I366" s="293" t="s">
        <v>4623</v>
      </c>
      <c r="J366" s="293" t="s">
        <v>4623</v>
      </c>
      <c r="K366" s="290" t="s">
        <v>4623</v>
      </c>
      <c r="L366" s="290" t="s">
        <v>4623</v>
      </c>
      <c r="M366" s="290" t="s">
        <v>4623</v>
      </c>
      <c r="N366" s="290" t="s">
        <v>4623</v>
      </c>
      <c r="O366" s="290" t="s">
        <v>4623</v>
      </c>
      <c r="P366" s="290" t="s">
        <v>999</v>
      </c>
      <c r="Q366" s="291" t="s">
        <v>4623</v>
      </c>
      <c r="R366" s="276"/>
      <c r="S366" s="277">
        <f>IF(OR(C366="",C366=T$4),NA(),MATCH($B366&amp;$C366,'Smelter Reference List'!$J:$J,0))</f>
        <v>222</v>
      </c>
      <c r="T366" s="278"/>
      <c r="U366" s="278"/>
      <c r="V366" s="278"/>
      <c r="W366" s="278"/>
    </row>
    <row r="367" spans="1:23" s="269" customFormat="1" ht="20.25">
      <c r="A367" s="267"/>
      <c r="B367" s="275" t="s">
        <v>2436</v>
      </c>
      <c r="C367" s="275" t="s">
        <v>3831</v>
      </c>
      <c r="D367" s="168" t="s">
        <v>5256</v>
      </c>
      <c r="E367" s="168" t="s">
        <v>2294</v>
      </c>
      <c r="F367" s="168" t="s">
        <v>4623</v>
      </c>
      <c r="G367" s="168" t="s">
        <v>4623</v>
      </c>
      <c r="H367" s="292" t="s">
        <v>5257</v>
      </c>
      <c r="I367" s="293" t="s">
        <v>5254</v>
      </c>
      <c r="J367" s="293" t="s">
        <v>4969</v>
      </c>
      <c r="K367" s="290" t="s">
        <v>4623</v>
      </c>
      <c r="L367" s="290" t="s">
        <v>4623</v>
      </c>
      <c r="M367" s="290" t="s">
        <v>4623</v>
      </c>
      <c r="N367" s="290" t="s">
        <v>4623</v>
      </c>
      <c r="O367" s="290" t="s">
        <v>4623</v>
      </c>
      <c r="P367" s="290" t="s">
        <v>999</v>
      </c>
      <c r="Q367" s="291" t="s">
        <v>4623</v>
      </c>
      <c r="R367" s="276"/>
      <c r="S367" s="277">
        <f>IF(OR(C367="",C367=T$4),NA(),MATCH($B367&amp;$C367,'Smelter Reference List'!$J:$J,0))</f>
        <v>222</v>
      </c>
      <c r="T367" s="278"/>
      <c r="U367" s="278"/>
      <c r="V367" s="278"/>
      <c r="W367" s="278"/>
    </row>
    <row r="368" spans="1:23" s="269" customFormat="1" ht="20.25">
      <c r="A368" s="267"/>
      <c r="B368" s="275" t="s">
        <v>2436</v>
      </c>
      <c r="C368" s="275" t="s">
        <v>3831</v>
      </c>
      <c r="D368" s="168" t="s">
        <v>5258</v>
      </c>
      <c r="E368" s="168" t="s">
        <v>2294</v>
      </c>
      <c r="F368" s="168" t="s">
        <v>4623</v>
      </c>
      <c r="G368" s="168" t="s">
        <v>4623</v>
      </c>
      <c r="H368" s="292" t="s">
        <v>4623</v>
      </c>
      <c r="I368" s="293" t="s">
        <v>4623</v>
      </c>
      <c r="J368" s="293" t="s">
        <v>4623</v>
      </c>
      <c r="K368" s="290" t="s">
        <v>4623</v>
      </c>
      <c r="L368" s="290" t="s">
        <v>4623</v>
      </c>
      <c r="M368" s="290" t="s">
        <v>4623</v>
      </c>
      <c r="N368" s="290" t="s">
        <v>4623</v>
      </c>
      <c r="O368" s="290" t="s">
        <v>4623</v>
      </c>
      <c r="P368" s="290" t="s">
        <v>999</v>
      </c>
      <c r="Q368" s="291" t="s">
        <v>4623</v>
      </c>
      <c r="R368" s="276"/>
      <c r="S368" s="277">
        <f>IF(OR(C368="",C368=T$4),NA(),MATCH($B368&amp;$C368,'Smelter Reference List'!$J:$J,0))</f>
        <v>222</v>
      </c>
      <c r="T368" s="278"/>
      <c r="U368" s="278"/>
      <c r="V368" s="278"/>
      <c r="W368" s="278"/>
    </row>
    <row r="369" spans="1:23" s="269" customFormat="1" ht="20.25">
      <c r="A369" s="267"/>
      <c r="B369" s="275" t="s">
        <v>2436</v>
      </c>
      <c r="C369" s="275" t="s">
        <v>3831</v>
      </c>
      <c r="D369" s="168" t="s">
        <v>5259</v>
      </c>
      <c r="E369" s="168" t="s">
        <v>2294</v>
      </c>
      <c r="F369" s="168" t="s">
        <v>4623</v>
      </c>
      <c r="G369" s="168" t="s">
        <v>4623</v>
      </c>
      <c r="H369" s="292" t="s">
        <v>4623</v>
      </c>
      <c r="I369" s="293" t="s">
        <v>4623</v>
      </c>
      <c r="J369" s="293" t="s">
        <v>4623</v>
      </c>
      <c r="K369" s="290" t="s">
        <v>4623</v>
      </c>
      <c r="L369" s="290" t="s">
        <v>4623</v>
      </c>
      <c r="M369" s="290" t="s">
        <v>4623</v>
      </c>
      <c r="N369" s="290" t="s">
        <v>4623</v>
      </c>
      <c r="O369" s="290" t="s">
        <v>4623</v>
      </c>
      <c r="P369" s="290" t="s">
        <v>999</v>
      </c>
      <c r="Q369" s="291" t="s">
        <v>4623</v>
      </c>
      <c r="R369" s="276"/>
      <c r="S369" s="277">
        <f>IF(OR(C369="",C369=T$4),NA(),MATCH($B369&amp;$C369,'Smelter Reference List'!$J:$J,0))</f>
        <v>222</v>
      </c>
      <c r="T369" s="278"/>
      <c r="U369" s="278"/>
      <c r="V369" s="278"/>
      <c r="W369" s="278"/>
    </row>
    <row r="370" spans="1:23" s="269" customFormat="1" ht="20.25">
      <c r="A370" s="267"/>
      <c r="B370" s="275" t="s">
        <v>2436</v>
      </c>
      <c r="C370" s="275" t="s">
        <v>3831</v>
      </c>
      <c r="D370" s="168" t="s">
        <v>5260</v>
      </c>
      <c r="E370" s="168" t="s">
        <v>2294</v>
      </c>
      <c r="F370" s="168" t="s">
        <v>4623</v>
      </c>
      <c r="G370" s="168" t="s">
        <v>4623</v>
      </c>
      <c r="H370" s="292" t="s">
        <v>4623</v>
      </c>
      <c r="I370" s="293" t="s">
        <v>4623</v>
      </c>
      <c r="J370" s="293" t="s">
        <v>4623</v>
      </c>
      <c r="K370" s="290" t="s">
        <v>4623</v>
      </c>
      <c r="L370" s="290" t="s">
        <v>4623</v>
      </c>
      <c r="M370" s="290" t="s">
        <v>4623</v>
      </c>
      <c r="N370" s="290" t="s">
        <v>4623</v>
      </c>
      <c r="O370" s="290" t="s">
        <v>4623</v>
      </c>
      <c r="P370" s="290" t="s">
        <v>999</v>
      </c>
      <c r="Q370" s="291" t="s">
        <v>4623</v>
      </c>
      <c r="R370" s="276"/>
      <c r="S370" s="277">
        <f>IF(OR(C370="",C370=T$4),NA(),MATCH($B370&amp;$C370,'Smelter Reference List'!$J:$J,0))</f>
        <v>222</v>
      </c>
      <c r="T370" s="278"/>
      <c r="U370" s="278"/>
      <c r="V370" s="278"/>
      <c r="W370" s="278"/>
    </row>
    <row r="371" spans="1:23" s="269" customFormat="1" ht="20.25">
      <c r="A371" s="267"/>
      <c r="B371" s="275" t="s">
        <v>2436</v>
      </c>
      <c r="C371" s="275" t="s">
        <v>3831</v>
      </c>
      <c r="D371" s="168" t="s">
        <v>5261</v>
      </c>
      <c r="E371" s="168" t="s">
        <v>2294</v>
      </c>
      <c r="F371" s="168" t="s">
        <v>4623</v>
      </c>
      <c r="G371" s="168" t="s">
        <v>4623</v>
      </c>
      <c r="H371" s="292" t="s">
        <v>4623</v>
      </c>
      <c r="I371" s="293" t="s">
        <v>4623</v>
      </c>
      <c r="J371" s="293" t="s">
        <v>4623</v>
      </c>
      <c r="K371" s="290" t="s">
        <v>4623</v>
      </c>
      <c r="L371" s="290" t="s">
        <v>4623</v>
      </c>
      <c r="M371" s="290" t="s">
        <v>4623</v>
      </c>
      <c r="N371" s="290" t="s">
        <v>4623</v>
      </c>
      <c r="O371" s="290" t="s">
        <v>4623</v>
      </c>
      <c r="P371" s="290" t="s">
        <v>999</v>
      </c>
      <c r="Q371" s="291" t="s">
        <v>4623</v>
      </c>
      <c r="R371" s="276"/>
      <c r="S371" s="277">
        <f>IF(OR(C371="",C371=T$4),NA(),MATCH($B371&amp;$C371,'Smelter Reference List'!$J:$J,0))</f>
        <v>222</v>
      </c>
      <c r="T371" s="278"/>
      <c r="U371" s="278"/>
      <c r="V371" s="278"/>
      <c r="W371" s="278"/>
    </row>
    <row r="372" spans="1:23" s="269" customFormat="1" ht="20.25">
      <c r="A372" s="267"/>
      <c r="B372" s="275" t="s">
        <v>2436</v>
      </c>
      <c r="C372" s="275" t="s">
        <v>3831</v>
      </c>
      <c r="D372" s="168" t="s">
        <v>5262</v>
      </c>
      <c r="E372" s="168" t="s">
        <v>2294</v>
      </c>
      <c r="F372" s="168" t="s">
        <v>4623</v>
      </c>
      <c r="G372" s="168" t="s">
        <v>4623</v>
      </c>
      <c r="H372" s="292" t="s">
        <v>4623</v>
      </c>
      <c r="I372" s="293" t="s">
        <v>4623</v>
      </c>
      <c r="J372" s="293" t="s">
        <v>4623</v>
      </c>
      <c r="K372" s="290" t="s">
        <v>4623</v>
      </c>
      <c r="L372" s="290" t="s">
        <v>4623</v>
      </c>
      <c r="M372" s="290" t="s">
        <v>4623</v>
      </c>
      <c r="N372" s="290" t="s">
        <v>4623</v>
      </c>
      <c r="O372" s="290" t="s">
        <v>4623</v>
      </c>
      <c r="P372" s="290" t="s">
        <v>999</v>
      </c>
      <c r="Q372" s="291" t="s">
        <v>4623</v>
      </c>
      <c r="R372" s="276"/>
      <c r="S372" s="277">
        <f>IF(OR(C372="",C372=T$4),NA(),MATCH($B372&amp;$C372,'Smelter Reference List'!$J:$J,0))</f>
        <v>222</v>
      </c>
      <c r="T372" s="278"/>
      <c r="U372" s="278"/>
      <c r="V372" s="278"/>
      <c r="W372" s="278"/>
    </row>
    <row r="373" spans="1:23" s="269" customFormat="1" ht="20.25">
      <c r="A373" s="267"/>
      <c r="B373" s="275" t="s">
        <v>2436</v>
      </c>
      <c r="C373" s="275" t="s">
        <v>3831</v>
      </c>
      <c r="D373" s="168" t="s">
        <v>5263</v>
      </c>
      <c r="E373" s="168" t="s">
        <v>2294</v>
      </c>
      <c r="F373" s="168" t="s">
        <v>4623</v>
      </c>
      <c r="G373" s="168" t="s">
        <v>4623</v>
      </c>
      <c r="H373" s="292" t="s">
        <v>4623</v>
      </c>
      <c r="I373" s="293" t="s">
        <v>4623</v>
      </c>
      <c r="J373" s="293" t="s">
        <v>4623</v>
      </c>
      <c r="K373" s="290" t="s">
        <v>4623</v>
      </c>
      <c r="L373" s="290" t="s">
        <v>4623</v>
      </c>
      <c r="M373" s="290" t="s">
        <v>4623</v>
      </c>
      <c r="N373" s="290" t="s">
        <v>4623</v>
      </c>
      <c r="O373" s="290" t="s">
        <v>4623</v>
      </c>
      <c r="P373" s="290" t="s">
        <v>999</v>
      </c>
      <c r="Q373" s="291" t="s">
        <v>4623</v>
      </c>
      <c r="R373" s="276"/>
      <c r="S373" s="277">
        <f>IF(OR(C373="",C373=T$4),NA(),MATCH($B373&amp;$C373,'Smelter Reference List'!$J:$J,0))</f>
        <v>222</v>
      </c>
      <c r="T373" s="278"/>
      <c r="U373" s="278"/>
      <c r="V373" s="278"/>
      <c r="W373" s="278"/>
    </row>
    <row r="374" spans="1:23" s="269" customFormat="1" ht="20.25">
      <c r="A374" s="267"/>
      <c r="B374" s="275" t="s">
        <v>2436</v>
      </c>
      <c r="C374" s="275" t="s">
        <v>3831</v>
      </c>
      <c r="D374" s="168" t="s">
        <v>55</v>
      </c>
      <c r="E374" s="168" t="s">
        <v>2294</v>
      </c>
      <c r="F374" s="168" t="s">
        <v>4623</v>
      </c>
      <c r="G374" s="168" t="s">
        <v>4623</v>
      </c>
      <c r="H374" s="292" t="s">
        <v>4623</v>
      </c>
      <c r="I374" s="293" t="s">
        <v>4623</v>
      </c>
      <c r="J374" s="293" t="s">
        <v>4623</v>
      </c>
      <c r="K374" s="290" t="s">
        <v>4623</v>
      </c>
      <c r="L374" s="290" t="s">
        <v>4623</v>
      </c>
      <c r="M374" s="290" t="s">
        <v>4623</v>
      </c>
      <c r="N374" s="290" t="s">
        <v>4623</v>
      </c>
      <c r="O374" s="290" t="s">
        <v>4623</v>
      </c>
      <c r="P374" s="290" t="s">
        <v>999</v>
      </c>
      <c r="Q374" s="291" t="s">
        <v>4623</v>
      </c>
      <c r="R374" s="276"/>
      <c r="S374" s="277">
        <f>IF(OR(C374="",C374=T$4),NA(),MATCH($B374&amp;$C374,'Smelter Reference List'!$J:$J,0))</f>
        <v>222</v>
      </c>
      <c r="T374" s="278"/>
      <c r="U374" s="278"/>
      <c r="V374" s="278"/>
      <c r="W374" s="278"/>
    </row>
    <row r="375" spans="1:23" s="269" customFormat="1" ht="20.25">
      <c r="A375" s="267"/>
      <c r="B375" s="275" t="s">
        <v>2436</v>
      </c>
      <c r="C375" s="275" t="s">
        <v>3831</v>
      </c>
      <c r="D375" s="168" t="s">
        <v>5264</v>
      </c>
      <c r="E375" s="168" t="s">
        <v>2294</v>
      </c>
      <c r="F375" s="168" t="s">
        <v>4623</v>
      </c>
      <c r="G375" s="168" t="s">
        <v>4623</v>
      </c>
      <c r="H375" s="292" t="s">
        <v>4623</v>
      </c>
      <c r="I375" s="293" t="s">
        <v>4623</v>
      </c>
      <c r="J375" s="293" t="s">
        <v>4623</v>
      </c>
      <c r="K375" s="290" t="s">
        <v>4623</v>
      </c>
      <c r="L375" s="290" t="s">
        <v>4623</v>
      </c>
      <c r="M375" s="290" t="s">
        <v>4623</v>
      </c>
      <c r="N375" s="290" t="s">
        <v>4623</v>
      </c>
      <c r="O375" s="290" t="s">
        <v>4623</v>
      </c>
      <c r="P375" s="290" t="s">
        <v>999</v>
      </c>
      <c r="Q375" s="291" t="s">
        <v>4623</v>
      </c>
      <c r="R375" s="276"/>
      <c r="S375" s="277">
        <f>IF(OR(C375="",C375=T$4),NA(),MATCH($B375&amp;$C375,'Smelter Reference List'!$J:$J,0))</f>
        <v>222</v>
      </c>
      <c r="T375" s="278"/>
      <c r="U375" s="278"/>
      <c r="V375" s="278"/>
      <c r="W375" s="278"/>
    </row>
    <row r="376" spans="1:23" s="269" customFormat="1" ht="20.25">
      <c r="A376" s="267"/>
      <c r="B376" s="275" t="s">
        <v>2436</v>
      </c>
      <c r="C376" s="275" t="s">
        <v>3831</v>
      </c>
      <c r="D376" s="168" t="s">
        <v>5265</v>
      </c>
      <c r="E376" s="168" t="s">
        <v>2294</v>
      </c>
      <c r="F376" s="168" t="s">
        <v>4623</v>
      </c>
      <c r="G376" s="168" t="s">
        <v>4623</v>
      </c>
      <c r="H376" s="292" t="s">
        <v>4623</v>
      </c>
      <c r="I376" s="293" t="s">
        <v>4623</v>
      </c>
      <c r="J376" s="293" t="s">
        <v>4623</v>
      </c>
      <c r="K376" s="290" t="s">
        <v>4623</v>
      </c>
      <c r="L376" s="290" t="s">
        <v>4623</v>
      </c>
      <c r="M376" s="290" t="s">
        <v>4623</v>
      </c>
      <c r="N376" s="290" t="s">
        <v>4623</v>
      </c>
      <c r="O376" s="290" t="s">
        <v>4623</v>
      </c>
      <c r="P376" s="290" t="s">
        <v>999</v>
      </c>
      <c r="Q376" s="291" t="s">
        <v>4623</v>
      </c>
      <c r="R376" s="276"/>
      <c r="S376" s="277">
        <f>IF(OR(C376="",C376=T$4),NA(),MATCH($B376&amp;$C376,'Smelter Reference List'!$J:$J,0))</f>
        <v>222</v>
      </c>
      <c r="T376" s="278"/>
      <c r="U376" s="278"/>
      <c r="V376" s="278"/>
      <c r="W376" s="278"/>
    </row>
    <row r="377" spans="1:23" s="269" customFormat="1" ht="20.25">
      <c r="A377" s="267"/>
      <c r="B377" s="275" t="s">
        <v>2436</v>
      </c>
      <c r="C377" s="275" t="s">
        <v>3831</v>
      </c>
      <c r="D377" s="168" t="s">
        <v>5266</v>
      </c>
      <c r="E377" s="168" t="s">
        <v>2294</v>
      </c>
      <c r="F377" s="168" t="s">
        <v>4623</v>
      </c>
      <c r="G377" s="168" t="s">
        <v>4623</v>
      </c>
      <c r="H377" s="292" t="s">
        <v>5267</v>
      </c>
      <c r="I377" s="293" t="s">
        <v>4623</v>
      </c>
      <c r="J377" s="293" t="s">
        <v>4623</v>
      </c>
      <c r="K377" s="290" t="s">
        <v>4623</v>
      </c>
      <c r="L377" s="290" t="s">
        <v>4623</v>
      </c>
      <c r="M377" s="290" t="s">
        <v>5268</v>
      </c>
      <c r="N377" s="290" t="s">
        <v>5269</v>
      </c>
      <c r="O377" s="290" t="s">
        <v>4623</v>
      </c>
      <c r="P377" s="290" t="s">
        <v>999</v>
      </c>
      <c r="Q377" s="291" t="s">
        <v>4623</v>
      </c>
      <c r="R377" s="276"/>
      <c r="S377" s="277">
        <f>IF(OR(C377="",C377=T$4),NA(),MATCH($B377&amp;$C377,'Smelter Reference List'!$J:$J,0))</f>
        <v>222</v>
      </c>
      <c r="T377" s="278"/>
      <c r="U377" s="278"/>
      <c r="V377" s="278"/>
      <c r="W377" s="278"/>
    </row>
    <row r="378" spans="1:23" s="269" customFormat="1" ht="20.25">
      <c r="A378" s="267"/>
      <c r="B378" s="275" t="s">
        <v>2436</v>
      </c>
      <c r="C378" s="275" t="s">
        <v>3831</v>
      </c>
      <c r="D378" s="168" t="s">
        <v>5270</v>
      </c>
      <c r="E378" s="168" t="s">
        <v>2294</v>
      </c>
      <c r="F378" s="168" t="s">
        <v>4623</v>
      </c>
      <c r="G378" s="168" t="s">
        <v>4623</v>
      </c>
      <c r="H378" s="292" t="s">
        <v>4623</v>
      </c>
      <c r="I378" s="293" t="s">
        <v>4623</v>
      </c>
      <c r="J378" s="293" t="s">
        <v>4623</v>
      </c>
      <c r="K378" s="290" t="s">
        <v>4623</v>
      </c>
      <c r="L378" s="290" t="s">
        <v>4623</v>
      </c>
      <c r="M378" s="290" t="s">
        <v>4623</v>
      </c>
      <c r="N378" s="290" t="s">
        <v>4623</v>
      </c>
      <c r="O378" s="290" t="s">
        <v>4623</v>
      </c>
      <c r="P378" s="290" t="s">
        <v>999</v>
      </c>
      <c r="Q378" s="291" t="s">
        <v>4623</v>
      </c>
      <c r="R378" s="276"/>
      <c r="S378" s="277">
        <f>IF(OR(C378="",C378=T$4),NA(),MATCH($B378&amp;$C378,'Smelter Reference List'!$J:$J,0))</f>
        <v>222</v>
      </c>
      <c r="T378" s="278"/>
      <c r="U378" s="278"/>
      <c r="V378" s="278"/>
      <c r="W378" s="278"/>
    </row>
    <row r="379" spans="1:23" s="269" customFormat="1" ht="20.25">
      <c r="A379" s="267"/>
      <c r="B379" s="275" t="s">
        <v>2436</v>
      </c>
      <c r="C379" s="275" t="s">
        <v>3831</v>
      </c>
      <c r="D379" s="168" t="s">
        <v>5271</v>
      </c>
      <c r="E379" s="168" t="s">
        <v>2294</v>
      </c>
      <c r="F379" s="168" t="s">
        <v>4623</v>
      </c>
      <c r="G379" s="168" t="s">
        <v>4623</v>
      </c>
      <c r="H379" s="292" t="s">
        <v>4623</v>
      </c>
      <c r="I379" s="293" t="s">
        <v>4623</v>
      </c>
      <c r="J379" s="293" t="s">
        <v>4623</v>
      </c>
      <c r="K379" s="290" t="s">
        <v>4623</v>
      </c>
      <c r="L379" s="290" t="s">
        <v>4623</v>
      </c>
      <c r="M379" s="290" t="s">
        <v>4623</v>
      </c>
      <c r="N379" s="290" t="s">
        <v>4623</v>
      </c>
      <c r="O379" s="290" t="s">
        <v>4623</v>
      </c>
      <c r="P379" s="290" t="s">
        <v>999</v>
      </c>
      <c r="Q379" s="291" t="s">
        <v>4623</v>
      </c>
      <c r="R379" s="276"/>
      <c r="S379" s="277">
        <f>IF(OR(C379="",C379=T$4),NA(),MATCH($B379&amp;$C379,'Smelter Reference List'!$J:$J,0))</f>
        <v>222</v>
      </c>
      <c r="T379" s="278"/>
      <c r="U379" s="278"/>
      <c r="V379" s="278"/>
      <c r="W379" s="278"/>
    </row>
    <row r="380" spans="1:23" s="269" customFormat="1" ht="20.25">
      <c r="A380" s="267"/>
      <c r="B380" s="275" t="s">
        <v>2436</v>
      </c>
      <c r="C380" s="275" t="s">
        <v>3831</v>
      </c>
      <c r="D380" s="168" t="s">
        <v>5272</v>
      </c>
      <c r="E380" s="168" t="s">
        <v>2294</v>
      </c>
      <c r="F380" s="168" t="s">
        <v>4623</v>
      </c>
      <c r="G380" s="168" t="s">
        <v>4623</v>
      </c>
      <c r="H380" s="292" t="s">
        <v>4623</v>
      </c>
      <c r="I380" s="293" t="s">
        <v>4623</v>
      </c>
      <c r="J380" s="293" t="s">
        <v>4623</v>
      </c>
      <c r="K380" s="290" t="s">
        <v>4623</v>
      </c>
      <c r="L380" s="290" t="s">
        <v>4623</v>
      </c>
      <c r="M380" s="290" t="s">
        <v>4623</v>
      </c>
      <c r="N380" s="290" t="s">
        <v>4623</v>
      </c>
      <c r="O380" s="290" t="s">
        <v>4623</v>
      </c>
      <c r="P380" s="290" t="s">
        <v>999</v>
      </c>
      <c r="Q380" s="291" t="s">
        <v>4623</v>
      </c>
      <c r="R380" s="276"/>
      <c r="S380" s="277">
        <f>IF(OR(C380="",C380=T$4),NA(),MATCH($B380&amp;$C380,'Smelter Reference List'!$J:$J,0))</f>
        <v>222</v>
      </c>
      <c r="T380" s="278"/>
      <c r="U380" s="278"/>
      <c r="V380" s="278"/>
      <c r="W380" s="278"/>
    </row>
    <row r="381" spans="1:23" s="269" customFormat="1" ht="20.25">
      <c r="A381" s="267"/>
      <c r="B381" s="275" t="s">
        <v>2436</v>
      </c>
      <c r="C381" s="275" t="s">
        <v>3831</v>
      </c>
      <c r="D381" s="168" t="s">
        <v>5273</v>
      </c>
      <c r="E381" s="168" t="s">
        <v>2294</v>
      </c>
      <c r="F381" s="168" t="s">
        <v>4623</v>
      </c>
      <c r="G381" s="168" t="s">
        <v>4623</v>
      </c>
      <c r="H381" s="292" t="s">
        <v>4623</v>
      </c>
      <c r="I381" s="293" t="s">
        <v>4623</v>
      </c>
      <c r="J381" s="293" t="s">
        <v>4623</v>
      </c>
      <c r="K381" s="290" t="s">
        <v>4623</v>
      </c>
      <c r="L381" s="290" t="s">
        <v>4623</v>
      </c>
      <c r="M381" s="290" t="s">
        <v>4623</v>
      </c>
      <c r="N381" s="290" t="s">
        <v>4623</v>
      </c>
      <c r="O381" s="290" t="s">
        <v>4623</v>
      </c>
      <c r="P381" s="290" t="s">
        <v>999</v>
      </c>
      <c r="Q381" s="291" t="s">
        <v>4623</v>
      </c>
      <c r="R381" s="276"/>
      <c r="S381" s="277">
        <f>IF(OR(C381="",C381=T$4),NA(),MATCH($B381&amp;$C381,'Smelter Reference List'!$J:$J,0))</f>
        <v>222</v>
      </c>
      <c r="T381" s="278"/>
      <c r="U381" s="278"/>
      <c r="V381" s="278"/>
      <c r="W381" s="278"/>
    </row>
    <row r="382" spans="1:23" s="269" customFormat="1" ht="20.25">
      <c r="A382" s="267"/>
      <c r="B382" s="275" t="s">
        <v>2436</v>
      </c>
      <c r="C382" s="275" t="s">
        <v>3831</v>
      </c>
      <c r="D382" s="168" t="s">
        <v>5274</v>
      </c>
      <c r="E382" s="168" t="s">
        <v>2294</v>
      </c>
      <c r="F382" s="168" t="s">
        <v>4623</v>
      </c>
      <c r="G382" s="168" t="s">
        <v>4623</v>
      </c>
      <c r="H382" s="292" t="s">
        <v>4623</v>
      </c>
      <c r="I382" s="293" t="s">
        <v>4623</v>
      </c>
      <c r="J382" s="293" t="s">
        <v>4623</v>
      </c>
      <c r="K382" s="290" t="s">
        <v>4623</v>
      </c>
      <c r="L382" s="290" t="s">
        <v>4623</v>
      </c>
      <c r="M382" s="290" t="s">
        <v>4623</v>
      </c>
      <c r="N382" s="290" t="s">
        <v>4623</v>
      </c>
      <c r="O382" s="290" t="s">
        <v>4623</v>
      </c>
      <c r="P382" s="290" t="s">
        <v>999</v>
      </c>
      <c r="Q382" s="291" t="s">
        <v>4817</v>
      </c>
      <c r="R382" s="276"/>
      <c r="S382" s="277">
        <f>IF(OR(C382="",C382=T$4),NA(),MATCH($B382&amp;$C382,'Smelter Reference List'!$J:$J,0))</f>
        <v>222</v>
      </c>
      <c r="T382" s="278"/>
      <c r="U382" s="278"/>
      <c r="V382" s="278"/>
      <c r="W382" s="278"/>
    </row>
    <row r="383" spans="1:23" s="269" customFormat="1" ht="20.25">
      <c r="A383" s="267"/>
      <c r="B383" s="275" t="s">
        <v>2436</v>
      </c>
      <c r="C383" s="275" t="s">
        <v>3831</v>
      </c>
      <c r="D383" s="168" t="s">
        <v>5275</v>
      </c>
      <c r="E383" s="168" t="s">
        <v>2294</v>
      </c>
      <c r="F383" s="168" t="s">
        <v>4623</v>
      </c>
      <c r="G383" s="168" t="s">
        <v>4623</v>
      </c>
      <c r="H383" s="292" t="s">
        <v>4623</v>
      </c>
      <c r="I383" s="293" t="s">
        <v>4623</v>
      </c>
      <c r="J383" s="293" t="s">
        <v>4623</v>
      </c>
      <c r="K383" s="290" t="s">
        <v>4623</v>
      </c>
      <c r="L383" s="290" t="s">
        <v>4623</v>
      </c>
      <c r="M383" s="290" t="s">
        <v>4623</v>
      </c>
      <c r="N383" s="290" t="s">
        <v>4623</v>
      </c>
      <c r="O383" s="290" t="s">
        <v>4623</v>
      </c>
      <c r="P383" s="290" t="s">
        <v>999</v>
      </c>
      <c r="Q383" s="291" t="s">
        <v>4623</v>
      </c>
      <c r="R383" s="276"/>
      <c r="S383" s="277">
        <f>IF(OR(C383="",C383=T$4),NA(),MATCH($B383&amp;$C383,'Smelter Reference List'!$J:$J,0))</f>
        <v>222</v>
      </c>
      <c r="T383" s="278"/>
      <c r="U383" s="278"/>
      <c r="V383" s="278"/>
      <c r="W383" s="278"/>
    </row>
    <row r="384" spans="1:23" s="269" customFormat="1" ht="20.25">
      <c r="A384" s="267"/>
      <c r="B384" s="275" t="s">
        <v>2436</v>
      </c>
      <c r="C384" s="275" t="s">
        <v>3831</v>
      </c>
      <c r="D384" s="168" t="s">
        <v>5276</v>
      </c>
      <c r="E384" s="168" t="s">
        <v>2294</v>
      </c>
      <c r="F384" s="168" t="s">
        <v>4623</v>
      </c>
      <c r="G384" s="168" t="s">
        <v>4623</v>
      </c>
      <c r="H384" s="292" t="s">
        <v>4623</v>
      </c>
      <c r="I384" s="293" t="s">
        <v>4623</v>
      </c>
      <c r="J384" s="293" t="s">
        <v>4623</v>
      </c>
      <c r="K384" s="290" t="s">
        <v>4623</v>
      </c>
      <c r="L384" s="290" t="s">
        <v>4623</v>
      </c>
      <c r="M384" s="290" t="s">
        <v>4623</v>
      </c>
      <c r="N384" s="290" t="s">
        <v>4623</v>
      </c>
      <c r="O384" s="290" t="s">
        <v>4623</v>
      </c>
      <c r="P384" s="290" t="s">
        <v>999</v>
      </c>
      <c r="Q384" s="291" t="s">
        <v>4623</v>
      </c>
      <c r="R384" s="276"/>
      <c r="S384" s="277">
        <f>IF(OR(C384="",C384=T$4),NA(),MATCH($B384&amp;$C384,'Smelter Reference List'!$J:$J,0))</f>
        <v>222</v>
      </c>
      <c r="T384" s="278"/>
      <c r="U384" s="278"/>
      <c r="V384" s="278"/>
      <c r="W384" s="278"/>
    </row>
    <row r="385" spans="1:23" s="269" customFormat="1" ht="20.25">
      <c r="A385" s="267"/>
      <c r="B385" s="275" t="s">
        <v>2436</v>
      </c>
      <c r="C385" s="275" t="s">
        <v>3831</v>
      </c>
      <c r="D385" s="168" t="s">
        <v>5277</v>
      </c>
      <c r="E385" s="168" t="s">
        <v>2294</v>
      </c>
      <c r="F385" s="168" t="s">
        <v>4623</v>
      </c>
      <c r="G385" s="168" t="s">
        <v>4623</v>
      </c>
      <c r="H385" s="292" t="s">
        <v>5278</v>
      </c>
      <c r="I385" s="293" t="s">
        <v>5279</v>
      </c>
      <c r="J385" s="293" t="s">
        <v>5280</v>
      </c>
      <c r="K385" s="290" t="s">
        <v>4623</v>
      </c>
      <c r="L385" s="290" t="s">
        <v>5281</v>
      </c>
      <c r="M385" s="290" t="s">
        <v>4623</v>
      </c>
      <c r="N385" s="290" t="s">
        <v>4623</v>
      </c>
      <c r="O385" s="290" t="s">
        <v>4667</v>
      </c>
      <c r="P385" s="290" t="s">
        <v>999</v>
      </c>
      <c r="Q385" s="291" t="s">
        <v>4623</v>
      </c>
      <c r="R385" s="276"/>
      <c r="S385" s="277">
        <f>IF(OR(C385="",C385=T$4),NA(),MATCH($B385&amp;$C385,'Smelter Reference List'!$J:$J,0))</f>
        <v>222</v>
      </c>
      <c r="T385" s="278"/>
      <c r="U385" s="278"/>
      <c r="V385" s="278"/>
      <c r="W385" s="278"/>
    </row>
    <row r="386" spans="1:23" s="269" customFormat="1" ht="20.25">
      <c r="A386" s="267"/>
      <c r="B386" s="275" t="s">
        <v>2436</v>
      </c>
      <c r="C386" s="275" t="s">
        <v>3831</v>
      </c>
      <c r="D386" s="168" t="s">
        <v>5282</v>
      </c>
      <c r="E386" s="168" t="s">
        <v>2294</v>
      </c>
      <c r="F386" s="168" t="s">
        <v>4623</v>
      </c>
      <c r="G386" s="168" t="s">
        <v>4623</v>
      </c>
      <c r="H386" s="292" t="s">
        <v>4623</v>
      </c>
      <c r="I386" s="293" t="s">
        <v>4623</v>
      </c>
      <c r="J386" s="293" t="s">
        <v>4623</v>
      </c>
      <c r="K386" s="290" t="s">
        <v>4623</v>
      </c>
      <c r="L386" s="290" t="s">
        <v>4623</v>
      </c>
      <c r="M386" s="290" t="s">
        <v>4623</v>
      </c>
      <c r="N386" s="290" t="s">
        <v>4623</v>
      </c>
      <c r="O386" s="290" t="s">
        <v>4623</v>
      </c>
      <c r="P386" s="290" t="s">
        <v>999</v>
      </c>
      <c r="Q386" s="291" t="s">
        <v>4623</v>
      </c>
      <c r="R386" s="276"/>
      <c r="S386" s="277">
        <f>IF(OR(C386="",C386=T$4),NA(),MATCH($B386&amp;$C386,'Smelter Reference List'!$J:$J,0))</f>
        <v>222</v>
      </c>
      <c r="T386" s="278"/>
      <c r="U386" s="278"/>
      <c r="V386" s="278"/>
      <c r="W386" s="278"/>
    </row>
    <row r="387" spans="1:23" s="269" customFormat="1" ht="20.25">
      <c r="A387" s="267"/>
      <c r="B387" s="275" t="s">
        <v>2436</v>
      </c>
      <c r="C387" s="275" t="s">
        <v>3831</v>
      </c>
      <c r="D387" s="168" t="s">
        <v>5283</v>
      </c>
      <c r="E387" s="168" t="s">
        <v>2294</v>
      </c>
      <c r="F387" s="168" t="s">
        <v>4623</v>
      </c>
      <c r="G387" s="168" t="s">
        <v>4623</v>
      </c>
      <c r="H387" s="292" t="s">
        <v>4623</v>
      </c>
      <c r="I387" s="293" t="s">
        <v>4623</v>
      </c>
      <c r="J387" s="293" t="s">
        <v>4623</v>
      </c>
      <c r="K387" s="290" t="s">
        <v>4623</v>
      </c>
      <c r="L387" s="290" t="s">
        <v>4623</v>
      </c>
      <c r="M387" s="290" t="s">
        <v>4623</v>
      </c>
      <c r="N387" s="290" t="s">
        <v>4623</v>
      </c>
      <c r="O387" s="290" t="s">
        <v>4623</v>
      </c>
      <c r="P387" s="290" t="s">
        <v>999</v>
      </c>
      <c r="Q387" s="291" t="s">
        <v>4623</v>
      </c>
      <c r="R387" s="276"/>
      <c r="S387" s="277">
        <f>IF(OR(C387="",C387=T$4),NA(),MATCH($B387&amp;$C387,'Smelter Reference List'!$J:$J,0))</f>
        <v>222</v>
      </c>
      <c r="T387" s="278"/>
      <c r="U387" s="278"/>
      <c r="V387" s="278"/>
      <c r="W387" s="278"/>
    </row>
    <row r="388" spans="1:23" s="269" customFormat="1" ht="20.25">
      <c r="A388" s="267"/>
      <c r="B388" s="275" t="s">
        <v>2436</v>
      </c>
      <c r="C388" s="275" t="s">
        <v>3831</v>
      </c>
      <c r="D388" s="168" t="s">
        <v>5284</v>
      </c>
      <c r="E388" s="168" t="s">
        <v>2294</v>
      </c>
      <c r="F388" s="168" t="s">
        <v>4623</v>
      </c>
      <c r="G388" s="168" t="s">
        <v>4623</v>
      </c>
      <c r="H388" s="292" t="s">
        <v>4623</v>
      </c>
      <c r="I388" s="293" t="s">
        <v>4623</v>
      </c>
      <c r="J388" s="293" t="s">
        <v>4623</v>
      </c>
      <c r="K388" s="290" t="s">
        <v>4623</v>
      </c>
      <c r="L388" s="290" t="s">
        <v>4623</v>
      </c>
      <c r="M388" s="290" t="s">
        <v>4623</v>
      </c>
      <c r="N388" s="290" t="s">
        <v>4623</v>
      </c>
      <c r="O388" s="290" t="s">
        <v>4623</v>
      </c>
      <c r="P388" s="290" t="s">
        <v>999</v>
      </c>
      <c r="Q388" s="291" t="s">
        <v>4623</v>
      </c>
      <c r="R388" s="276"/>
      <c r="S388" s="277">
        <f>IF(OR(C388="",C388=T$4),NA(),MATCH($B388&amp;$C388,'Smelter Reference List'!$J:$J,0))</f>
        <v>222</v>
      </c>
      <c r="T388" s="278"/>
      <c r="U388" s="278"/>
      <c r="V388" s="278"/>
      <c r="W388" s="278"/>
    </row>
    <row r="389" spans="1:23" s="269" customFormat="1" ht="20.25">
      <c r="A389" s="267"/>
      <c r="B389" s="275" t="s">
        <v>2436</v>
      </c>
      <c r="C389" s="275" t="s">
        <v>3831</v>
      </c>
      <c r="D389" s="168" t="s">
        <v>5285</v>
      </c>
      <c r="E389" s="168" t="s">
        <v>2294</v>
      </c>
      <c r="F389" s="168" t="s">
        <v>4623</v>
      </c>
      <c r="G389" s="168" t="s">
        <v>4623</v>
      </c>
      <c r="H389" s="292" t="s">
        <v>4623</v>
      </c>
      <c r="I389" s="293" t="s">
        <v>4623</v>
      </c>
      <c r="J389" s="293" t="s">
        <v>4623</v>
      </c>
      <c r="K389" s="290" t="s">
        <v>4623</v>
      </c>
      <c r="L389" s="290" t="s">
        <v>4623</v>
      </c>
      <c r="M389" s="290" t="s">
        <v>4623</v>
      </c>
      <c r="N389" s="290" t="s">
        <v>4623</v>
      </c>
      <c r="O389" s="290" t="s">
        <v>4623</v>
      </c>
      <c r="P389" s="290" t="s">
        <v>999</v>
      </c>
      <c r="Q389" s="291" t="s">
        <v>4623</v>
      </c>
      <c r="R389" s="276"/>
      <c r="S389" s="277">
        <f>IF(OR(C389="",C389=T$4),NA(),MATCH($B389&amp;$C389,'Smelter Reference List'!$J:$J,0))</f>
        <v>222</v>
      </c>
      <c r="T389" s="278"/>
      <c r="U389" s="278"/>
      <c r="V389" s="278"/>
      <c r="W389" s="278"/>
    </row>
    <row r="390" spans="1:23" s="269" customFormat="1" ht="20.25">
      <c r="A390" s="267"/>
      <c r="B390" s="275" t="s">
        <v>2436</v>
      </c>
      <c r="C390" s="275" t="s">
        <v>3831</v>
      </c>
      <c r="D390" s="168" t="s">
        <v>5286</v>
      </c>
      <c r="E390" s="168" t="s">
        <v>2294</v>
      </c>
      <c r="F390" s="168" t="s">
        <v>4623</v>
      </c>
      <c r="G390" s="168" t="s">
        <v>4623</v>
      </c>
      <c r="H390" s="292" t="s">
        <v>4623</v>
      </c>
      <c r="I390" s="293" t="s">
        <v>4623</v>
      </c>
      <c r="J390" s="293" t="s">
        <v>4623</v>
      </c>
      <c r="K390" s="290" t="s">
        <v>4623</v>
      </c>
      <c r="L390" s="290" t="s">
        <v>4623</v>
      </c>
      <c r="M390" s="290" t="s">
        <v>4623</v>
      </c>
      <c r="N390" s="290" t="s">
        <v>4623</v>
      </c>
      <c r="O390" s="290" t="s">
        <v>4623</v>
      </c>
      <c r="P390" s="290" t="s">
        <v>999</v>
      </c>
      <c r="Q390" s="291" t="s">
        <v>4623</v>
      </c>
      <c r="R390" s="276"/>
      <c r="S390" s="277">
        <f>IF(OR(C390="",C390=T$4),NA(),MATCH($B390&amp;$C390,'Smelter Reference List'!$J:$J,0))</f>
        <v>222</v>
      </c>
      <c r="T390" s="278"/>
      <c r="U390" s="278"/>
      <c r="V390" s="278"/>
      <c r="W390" s="278"/>
    </row>
    <row r="391" spans="1:23" s="269" customFormat="1" ht="20.25">
      <c r="A391" s="267"/>
      <c r="B391" s="275" t="s">
        <v>2436</v>
      </c>
      <c r="C391" s="275" t="s">
        <v>3831</v>
      </c>
      <c r="D391" s="168" t="s">
        <v>5287</v>
      </c>
      <c r="E391" s="168" t="s">
        <v>2294</v>
      </c>
      <c r="F391" s="168" t="s">
        <v>4623</v>
      </c>
      <c r="G391" s="168" t="s">
        <v>4623</v>
      </c>
      <c r="H391" s="292" t="s">
        <v>4623</v>
      </c>
      <c r="I391" s="293" t="s">
        <v>4623</v>
      </c>
      <c r="J391" s="293" t="s">
        <v>4623</v>
      </c>
      <c r="K391" s="290" t="s">
        <v>4623</v>
      </c>
      <c r="L391" s="290" t="s">
        <v>4623</v>
      </c>
      <c r="M391" s="290" t="s">
        <v>4623</v>
      </c>
      <c r="N391" s="290" t="s">
        <v>4623</v>
      </c>
      <c r="O391" s="290" t="s">
        <v>4623</v>
      </c>
      <c r="P391" s="290" t="s">
        <v>999</v>
      </c>
      <c r="Q391" s="291" t="s">
        <v>4623</v>
      </c>
      <c r="R391" s="276"/>
      <c r="S391" s="277">
        <f>IF(OR(C391="",C391=T$4),NA(),MATCH($B391&amp;$C391,'Smelter Reference List'!$J:$J,0))</f>
        <v>222</v>
      </c>
      <c r="T391" s="278"/>
      <c r="U391" s="278"/>
      <c r="V391" s="278"/>
      <c r="W391" s="278"/>
    </row>
    <row r="392" spans="1:23" s="269" customFormat="1" ht="20.25">
      <c r="A392" s="267"/>
      <c r="B392" s="275" t="s">
        <v>2436</v>
      </c>
      <c r="C392" s="275" t="s">
        <v>3831</v>
      </c>
      <c r="D392" s="168" t="s">
        <v>5288</v>
      </c>
      <c r="E392" s="168" t="s">
        <v>2294</v>
      </c>
      <c r="F392" s="168" t="s">
        <v>4623</v>
      </c>
      <c r="G392" s="168" t="s">
        <v>4623</v>
      </c>
      <c r="H392" s="292" t="s">
        <v>4623</v>
      </c>
      <c r="I392" s="293" t="s">
        <v>4623</v>
      </c>
      <c r="J392" s="293" t="s">
        <v>4623</v>
      </c>
      <c r="K392" s="290" t="s">
        <v>4623</v>
      </c>
      <c r="L392" s="290" t="s">
        <v>4623</v>
      </c>
      <c r="M392" s="290" t="s">
        <v>4623</v>
      </c>
      <c r="N392" s="290" t="s">
        <v>4623</v>
      </c>
      <c r="O392" s="290" t="s">
        <v>4623</v>
      </c>
      <c r="P392" s="290" t="s">
        <v>999</v>
      </c>
      <c r="Q392" s="291" t="s">
        <v>4623</v>
      </c>
      <c r="R392" s="276"/>
      <c r="S392" s="277">
        <f>IF(OR(C392="",C392=T$4),NA(),MATCH($B392&amp;$C392,'Smelter Reference List'!$J:$J,0))</f>
        <v>222</v>
      </c>
      <c r="T392" s="278"/>
      <c r="U392" s="278"/>
      <c r="V392" s="278"/>
      <c r="W392" s="278"/>
    </row>
    <row r="393" spans="1:23" s="269" customFormat="1" ht="20.25">
      <c r="A393" s="267"/>
      <c r="B393" s="275" t="s">
        <v>2436</v>
      </c>
      <c r="C393" s="275" t="s">
        <v>3831</v>
      </c>
      <c r="D393" s="168" t="s">
        <v>5289</v>
      </c>
      <c r="E393" s="168" t="s">
        <v>2294</v>
      </c>
      <c r="F393" s="168" t="s">
        <v>4623</v>
      </c>
      <c r="G393" s="168" t="s">
        <v>4623</v>
      </c>
      <c r="H393" s="292" t="s">
        <v>4623</v>
      </c>
      <c r="I393" s="293" t="s">
        <v>4623</v>
      </c>
      <c r="J393" s="293" t="s">
        <v>4623</v>
      </c>
      <c r="K393" s="290" t="s">
        <v>4623</v>
      </c>
      <c r="L393" s="290" t="s">
        <v>4623</v>
      </c>
      <c r="M393" s="290" t="s">
        <v>4623</v>
      </c>
      <c r="N393" s="290" t="s">
        <v>4623</v>
      </c>
      <c r="O393" s="290" t="s">
        <v>4623</v>
      </c>
      <c r="P393" s="290" t="s">
        <v>999</v>
      </c>
      <c r="Q393" s="291" t="s">
        <v>4623</v>
      </c>
      <c r="R393" s="276"/>
      <c r="S393" s="277">
        <f>IF(OR(C393="",C393=T$4),NA(),MATCH($B393&amp;$C393,'Smelter Reference List'!$J:$J,0))</f>
        <v>222</v>
      </c>
      <c r="T393" s="278"/>
      <c r="U393" s="278"/>
      <c r="V393" s="278"/>
      <c r="W393" s="278"/>
    </row>
    <row r="394" spans="1:23" s="269" customFormat="1" ht="20.25">
      <c r="A394" s="267"/>
      <c r="B394" s="275" t="s">
        <v>2436</v>
      </c>
      <c r="C394" s="275" t="s">
        <v>3831</v>
      </c>
      <c r="D394" s="168" t="s">
        <v>5290</v>
      </c>
      <c r="E394" s="168" t="s">
        <v>2294</v>
      </c>
      <c r="F394" s="168" t="s">
        <v>4623</v>
      </c>
      <c r="G394" s="168" t="s">
        <v>4623</v>
      </c>
      <c r="H394" s="292" t="s">
        <v>5291</v>
      </c>
      <c r="I394" s="293" t="s">
        <v>5292</v>
      </c>
      <c r="J394" s="293" t="s">
        <v>3393</v>
      </c>
      <c r="K394" s="290" t="s">
        <v>5293</v>
      </c>
      <c r="L394" s="290" t="s">
        <v>5294</v>
      </c>
      <c r="M394" s="290" t="s">
        <v>4623</v>
      </c>
      <c r="N394" s="290" t="s">
        <v>4623</v>
      </c>
      <c r="O394" s="290" t="s">
        <v>4623</v>
      </c>
      <c r="P394" s="290" t="s">
        <v>999</v>
      </c>
      <c r="Q394" s="291" t="s">
        <v>4623</v>
      </c>
      <c r="R394" s="276"/>
      <c r="S394" s="277">
        <f>IF(OR(C394="",C394=T$4),NA(),MATCH($B394&amp;$C394,'Smelter Reference List'!$J:$J,0))</f>
        <v>222</v>
      </c>
      <c r="T394" s="278"/>
      <c r="U394" s="278"/>
      <c r="V394" s="278"/>
      <c r="W394" s="278"/>
    </row>
    <row r="395" spans="1:23" s="269" customFormat="1" ht="20.25">
      <c r="A395" s="267"/>
      <c r="B395" s="275" t="s">
        <v>2436</v>
      </c>
      <c r="C395" s="275" t="s">
        <v>3831</v>
      </c>
      <c r="D395" s="168" t="s">
        <v>5295</v>
      </c>
      <c r="E395" s="168" t="s">
        <v>2294</v>
      </c>
      <c r="F395" s="168" t="s">
        <v>4623</v>
      </c>
      <c r="G395" s="168" t="s">
        <v>4623</v>
      </c>
      <c r="H395" s="292" t="s">
        <v>5296</v>
      </c>
      <c r="I395" s="293" t="s">
        <v>3545</v>
      </c>
      <c r="J395" s="293" t="s">
        <v>4623</v>
      </c>
      <c r="K395" s="290" t="s">
        <v>4623</v>
      </c>
      <c r="L395" s="290" t="s">
        <v>4623</v>
      </c>
      <c r="M395" s="290" t="s">
        <v>4623</v>
      </c>
      <c r="N395" s="290" t="s">
        <v>4623</v>
      </c>
      <c r="O395" s="290" t="s">
        <v>4623</v>
      </c>
      <c r="P395" s="290" t="s">
        <v>999</v>
      </c>
      <c r="Q395" s="291" t="s">
        <v>4623</v>
      </c>
      <c r="R395" s="276"/>
      <c r="S395" s="277">
        <f>IF(OR(C395="",C395=T$4),NA(),MATCH($B395&amp;$C395,'Smelter Reference List'!$J:$J,0))</f>
        <v>222</v>
      </c>
      <c r="T395" s="278"/>
      <c r="U395" s="278"/>
      <c r="V395" s="278"/>
      <c r="W395" s="278"/>
    </row>
    <row r="396" spans="1:23" s="269" customFormat="1" ht="20.25">
      <c r="A396" s="267"/>
      <c r="B396" s="275" t="s">
        <v>2436</v>
      </c>
      <c r="C396" s="275" t="s">
        <v>3831</v>
      </c>
      <c r="D396" s="168" t="s">
        <v>5297</v>
      </c>
      <c r="E396" s="168" t="s">
        <v>2294</v>
      </c>
      <c r="F396" s="168" t="s">
        <v>4623</v>
      </c>
      <c r="G396" s="168" t="s">
        <v>4623</v>
      </c>
      <c r="H396" s="292" t="s">
        <v>4623</v>
      </c>
      <c r="I396" s="293" t="s">
        <v>4623</v>
      </c>
      <c r="J396" s="293" t="s">
        <v>4623</v>
      </c>
      <c r="K396" s="290" t="s">
        <v>4623</v>
      </c>
      <c r="L396" s="290" t="s">
        <v>4623</v>
      </c>
      <c r="M396" s="290" t="s">
        <v>4623</v>
      </c>
      <c r="N396" s="290" t="s">
        <v>4623</v>
      </c>
      <c r="O396" s="290" t="s">
        <v>4623</v>
      </c>
      <c r="P396" s="290" t="s">
        <v>999</v>
      </c>
      <c r="Q396" s="291" t="s">
        <v>4623</v>
      </c>
      <c r="R396" s="276"/>
      <c r="S396" s="277">
        <f>IF(OR(C396="",C396=T$4),NA(),MATCH($B396&amp;$C396,'Smelter Reference List'!$J:$J,0))</f>
        <v>222</v>
      </c>
      <c r="T396" s="278"/>
      <c r="U396" s="278"/>
      <c r="V396" s="278"/>
      <c r="W396" s="278"/>
    </row>
    <row r="397" spans="1:23" s="269" customFormat="1" ht="20.25">
      <c r="A397" s="267"/>
      <c r="B397" s="275" t="s">
        <v>2436</v>
      </c>
      <c r="C397" s="275" t="s">
        <v>3831</v>
      </c>
      <c r="D397" s="168" t="s">
        <v>5298</v>
      </c>
      <c r="E397" s="168" t="s">
        <v>2294</v>
      </c>
      <c r="F397" s="168" t="s">
        <v>4623</v>
      </c>
      <c r="G397" s="168" t="s">
        <v>4623</v>
      </c>
      <c r="H397" s="292" t="s">
        <v>4623</v>
      </c>
      <c r="I397" s="293" t="s">
        <v>4623</v>
      </c>
      <c r="J397" s="293" t="s">
        <v>4623</v>
      </c>
      <c r="K397" s="290" t="s">
        <v>4623</v>
      </c>
      <c r="L397" s="290" t="s">
        <v>4623</v>
      </c>
      <c r="M397" s="290" t="s">
        <v>4623</v>
      </c>
      <c r="N397" s="290" t="s">
        <v>4623</v>
      </c>
      <c r="O397" s="290" t="s">
        <v>4623</v>
      </c>
      <c r="P397" s="290" t="s">
        <v>999</v>
      </c>
      <c r="Q397" s="291" t="s">
        <v>4623</v>
      </c>
      <c r="R397" s="276"/>
      <c r="S397" s="277">
        <f>IF(OR(C397="",C397=T$4),NA(),MATCH($B397&amp;$C397,'Smelter Reference List'!$J:$J,0))</f>
        <v>222</v>
      </c>
      <c r="T397" s="278"/>
      <c r="U397" s="278"/>
      <c r="V397" s="278"/>
      <c r="W397" s="278"/>
    </row>
    <row r="398" spans="1:23" s="269" customFormat="1" ht="20.25">
      <c r="A398" s="267"/>
      <c r="B398" s="275" t="s">
        <v>2436</v>
      </c>
      <c r="C398" s="275" t="s">
        <v>3831</v>
      </c>
      <c r="D398" s="168" t="s">
        <v>5299</v>
      </c>
      <c r="E398" s="168" t="s">
        <v>2294</v>
      </c>
      <c r="F398" s="168" t="s">
        <v>4623</v>
      </c>
      <c r="G398" s="168" t="s">
        <v>4623</v>
      </c>
      <c r="H398" s="292" t="s">
        <v>5300</v>
      </c>
      <c r="I398" s="293" t="s">
        <v>5301</v>
      </c>
      <c r="J398" s="293" t="s">
        <v>4673</v>
      </c>
      <c r="K398" s="290" t="s">
        <v>4623</v>
      </c>
      <c r="L398" s="290" t="s">
        <v>5302</v>
      </c>
      <c r="M398" s="290" t="s">
        <v>4623</v>
      </c>
      <c r="N398" s="290" t="s">
        <v>4623</v>
      </c>
      <c r="O398" s="290" t="s">
        <v>4667</v>
      </c>
      <c r="P398" s="290" t="s">
        <v>999</v>
      </c>
      <c r="Q398" s="291" t="s">
        <v>4623</v>
      </c>
      <c r="R398" s="276"/>
      <c r="S398" s="277">
        <f>IF(OR(C398="",C398=T$4),NA(),MATCH($B398&amp;$C398,'Smelter Reference List'!$J:$J,0))</f>
        <v>222</v>
      </c>
      <c r="T398" s="278"/>
      <c r="U398" s="278"/>
      <c r="V398" s="278"/>
      <c r="W398" s="278"/>
    </row>
    <row r="399" spans="1:23" s="269" customFormat="1" ht="20.25">
      <c r="A399" s="267"/>
      <c r="B399" s="275" t="s">
        <v>2436</v>
      </c>
      <c r="C399" s="275" t="s">
        <v>3831</v>
      </c>
      <c r="D399" s="168" t="s">
        <v>5303</v>
      </c>
      <c r="E399" s="168" t="s">
        <v>2294</v>
      </c>
      <c r="F399" s="168" t="s">
        <v>4623</v>
      </c>
      <c r="G399" s="168" t="s">
        <v>4623</v>
      </c>
      <c r="H399" s="292" t="s">
        <v>4623</v>
      </c>
      <c r="I399" s="293" t="s">
        <v>4623</v>
      </c>
      <c r="J399" s="293" t="s">
        <v>4623</v>
      </c>
      <c r="K399" s="290" t="s">
        <v>4623</v>
      </c>
      <c r="L399" s="290" t="s">
        <v>4623</v>
      </c>
      <c r="M399" s="290" t="s">
        <v>4623</v>
      </c>
      <c r="N399" s="290" t="s">
        <v>4623</v>
      </c>
      <c r="O399" s="290" t="s">
        <v>4623</v>
      </c>
      <c r="P399" s="290" t="s">
        <v>999</v>
      </c>
      <c r="Q399" s="291" t="s">
        <v>4623</v>
      </c>
      <c r="R399" s="276"/>
      <c r="S399" s="277">
        <f>IF(OR(C399="",C399=T$4),NA(),MATCH($B399&amp;$C399,'Smelter Reference List'!$J:$J,0))</f>
        <v>222</v>
      </c>
      <c r="T399" s="278"/>
      <c r="U399" s="278"/>
      <c r="V399" s="278"/>
      <c r="W399" s="278"/>
    </row>
    <row r="400" spans="1:23" s="269" customFormat="1" ht="20.25">
      <c r="A400" s="267"/>
      <c r="B400" s="275" t="s">
        <v>2436</v>
      </c>
      <c r="C400" s="275" t="s">
        <v>3831</v>
      </c>
      <c r="D400" s="168" t="s">
        <v>5304</v>
      </c>
      <c r="E400" s="168" t="s">
        <v>2294</v>
      </c>
      <c r="F400" s="168" t="s">
        <v>4623</v>
      </c>
      <c r="G400" s="168" t="s">
        <v>4623</v>
      </c>
      <c r="H400" s="292" t="s">
        <v>4623</v>
      </c>
      <c r="I400" s="293" t="s">
        <v>4623</v>
      </c>
      <c r="J400" s="293" t="s">
        <v>4623</v>
      </c>
      <c r="K400" s="290" t="s">
        <v>4623</v>
      </c>
      <c r="L400" s="290" t="s">
        <v>4623</v>
      </c>
      <c r="M400" s="290" t="s">
        <v>4623</v>
      </c>
      <c r="N400" s="290" t="s">
        <v>4623</v>
      </c>
      <c r="O400" s="290" t="s">
        <v>4623</v>
      </c>
      <c r="P400" s="290" t="s">
        <v>999</v>
      </c>
      <c r="Q400" s="291" t="s">
        <v>4623</v>
      </c>
      <c r="R400" s="276"/>
      <c r="S400" s="277">
        <f>IF(OR(C400="",C400=T$4),NA(),MATCH($B400&amp;$C400,'Smelter Reference List'!$J:$J,0))</f>
        <v>222</v>
      </c>
      <c r="T400" s="278"/>
      <c r="U400" s="278"/>
      <c r="V400" s="278"/>
      <c r="W400" s="278"/>
    </row>
    <row r="401" spans="1:23" s="269" customFormat="1" ht="20.25">
      <c r="A401" s="267"/>
      <c r="B401" s="275" t="s">
        <v>2436</v>
      </c>
      <c r="C401" s="275" t="s">
        <v>3831</v>
      </c>
      <c r="D401" s="168" t="s">
        <v>5305</v>
      </c>
      <c r="E401" s="168" t="s">
        <v>2294</v>
      </c>
      <c r="F401" s="168" t="s">
        <v>4623</v>
      </c>
      <c r="G401" s="168" t="s">
        <v>4623</v>
      </c>
      <c r="H401" s="292" t="s">
        <v>4623</v>
      </c>
      <c r="I401" s="293" t="s">
        <v>4623</v>
      </c>
      <c r="J401" s="293" t="s">
        <v>4623</v>
      </c>
      <c r="K401" s="290" t="s">
        <v>4623</v>
      </c>
      <c r="L401" s="290" t="s">
        <v>4623</v>
      </c>
      <c r="M401" s="290" t="s">
        <v>4623</v>
      </c>
      <c r="N401" s="290" t="s">
        <v>4623</v>
      </c>
      <c r="O401" s="290" t="s">
        <v>4623</v>
      </c>
      <c r="P401" s="290" t="s">
        <v>999</v>
      </c>
      <c r="Q401" s="291" t="s">
        <v>4623</v>
      </c>
      <c r="R401" s="276"/>
      <c r="S401" s="277">
        <f>IF(OR(C401="",C401=T$4),NA(),MATCH($B401&amp;$C401,'Smelter Reference List'!$J:$J,0))</f>
        <v>222</v>
      </c>
      <c r="T401" s="278"/>
      <c r="U401" s="278"/>
      <c r="V401" s="278"/>
      <c r="W401" s="278"/>
    </row>
    <row r="402" spans="1:23" s="269" customFormat="1" ht="20.25">
      <c r="A402" s="267"/>
      <c r="B402" s="275" t="s">
        <v>2436</v>
      </c>
      <c r="C402" s="275" t="s">
        <v>3831</v>
      </c>
      <c r="D402" s="168" t="s">
        <v>5306</v>
      </c>
      <c r="E402" s="168" t="s">
        <v>2294</v>
      </c>
      <c r="F402" s="168" t="s">
        <v>4623</v>
      </c>
      <c r="G402" s="168" t="s">
        <v>4623</v>
      </c>
      <c r="H402" s="292" t="s">
        <v>5307</v>
      </c>
      <c r="I402" s="293" t="s">
        <v>5308</v>
      </c>
      <c r="J402" s="293" t="s">
        <v>5309</v>
      </c>
      <c r="K402" s="290" t="s">
        <v>4623</v>
      </c>
      <c r="L402" s="290" t="s">
        <v>5310</v>
      </c>
      <c r="M402" s="290" t="s">
        <v>4623</v>
      </c>
      <c r="N402" s="290" t="s">
        <v>4623</v>
      </c>
      <c r="O402" s="290" t="s">
        <v>4623</v>
      </c>
      <c r="P402" s="290" t="s">
        <v>999</v>
      </c>
      <c r="Q402" s="291" t="s">
        <v>4623</v>
      </c>
      <c r="R402" s="276"/>
      <c r="S402" s="277">
        <f>IF(OR(C402="",C402=T$4),NA(),MATCH($B402&amp;$C402,'Smelter Reference List'!$J:$J,0))</f>
        <v>222</v>
      </c>
      <c r="T402" s="278"/>
      <c r="U402" s="278"/>
      <c r="V402" s="278"/>
      <c r="W402" s="278"/>
    </row>
    <row r="403" spans="1:23" s="269" customFormat="1" ht="20.25">
      <c r="A403" s="267"/>
      <c r="B403" s="275" t="s">
        <v>2436</v>
      </c>
      <c r="C403" s="275" t="s">
        <v>3831</v>
      </c>
      <c r="D403" s="168" t="s">
        <v>5311</v>
      </c>
      <c r="E403" s="168" t="s">
        <v>2294</v>
      </c>
      <c r="F403" s="168" t="s">
        <v>4623</v>
      </c>
      <c r="G403" s="168" t="s">
        <v>4623</v>
      </c>
      <c r="H403" s="292" t="s">
        <v>4623</v>
      </c>
      <c r="I403" s="293" t="s">
        <v>4623</v>
      </c>
      <c r="J403" s="293" t="s">
        <v>4623</v>
      </c>
      <c r="K403" s="290" t="s">
        <v>4623</v>
      </c>
      <c r="L403" s="290" t="s">
        <v>4623</v>
      </c>
      <c r="M403" s="290" t="s">
        <v>4623</v>
      </c>
      <c r="N403" s="290" t="s">
        <v>4623</v>
      </c>
      <c r="O403" s="290" t="s">
        <v>4623</v>
      </c>
      <c r="P403" s="290" t="s">
        <v>999</v>
      </c>
      <c r="Q403" s="291" t="s">
        <v>4623</v>
      </c>
      <c r="R403" s="276"/>
      <c r="S403" s="277">
        <f>IF(OR(C403="",C403=T$4),NA(),MATCH($B403&amp;$C403,'Smelter Reference List'!$J:$J,0))</f>
        <v>222</v>
      </c>
      <c r="T403" s="278"/>
      <c r="U403" s="278"/>
      <c r="V403" s="278"/>
      <c r="W403" s="278"/>
    </row>
    <row r="404" spans="1:23" s="269" customFormat="1" ht="20.25">
      <c r="A404" s="267"/>
      <c r="B404" s="275" t="s">
        <v>2436</v>
      </c>
      <c r="C404" s="275" t="s">
        <v>3831</v>
      </c>
      <c r="D404" s="168" t="s">
        <v>5312</v>
      </c>
      <c r="E404" s="168" t="s">
        <v>2294</v>
      </c>
      <c r="F404" s="168" t="s">
        <v>4623</v>
      </c>
      <c r="G404" s="168" t="s">
        <v>4623</v>
      </c>
      <c r="H404" s="292" t="s">
        <v>4623</v>
      </c>
      <c r="I404" s="293" t="s">
        <v>4623</v>
      </c>
      <c r="J404" s="293" t="s">
        <v>4623</v>
      </c>
      <c r="K404" s="290" t="s">
        <v>4623</v>
      </c>
      <c r="L404" s="290" t="s">
        <v>4623</v>
      </c>
      <c r="M404" s="290" t="s">
        <v>4623</v>
      </c>
      <c r="N404" s="290" t="s">
        <v>4623</v>
      </c>
      <c r="O404" s="290" t="s">
        <v>4623</v>
      </c>
      <c r="P404" s="290" t="s">
        <v>999</v>
      </c>
      <c r="Q404" s="291" t="s">
        <v>4623</v>
      </c>
      <c r="R404" s="276"/>
      <c r="S404" s="277">
        <f>IF(OR(C404="",C404=T$4),NA(),MATCH($B404&amp;$C404,'Smelter Reference List'!$J:$J,0))</f>
        <v>222</v>
      </c>
      <c r="T404" s="278"/>
      <c r="U404" s="278"/>
      <c r="V404" s="278"/>
      <c r="W404" s="278"/>
    </row>
    <row r="405" spans="1:23" s="269" customFormat="1" ht="20.25">
      <c r="A405" s="267"/>
      <c r="B405" s="275" t="s">
        <v>2436</v>
      </c>
      <c r="C405" s="275" t="s">
        <v>3831</v>
      </c>
      <c r="D405" s="168" t="s">
        <v>5313</v>
      </c>
      <c r="E405" s="168" t="s">
        <v>2294</v>
      </c>
      <c r="F405" s="168" t="s">
        <v>4623</v>
      </c>
      <c r="G405" s="168" t="s">
        <v>4623</v>
      </c>
      <c r="H405" s="292" t="s">
        <v>4623</v>
      </c>
      <c r="I405" s="293" t="s">
        <v>4623</v>
      </c>
      <c r="J405" s="293" t="s">
        <v>4623</v>
      </c>
      <c r="K405" s="290" t="s">
        <v>4623</v>
      </c>
      <c r="L405" s="290" t="s">
        <v>4623</v>
      </c>
      <c r="M405" s="290" t="s">
        <v>4623</v>
      </c>
      <c r="N405" s="290" t="s">
        <v>4623</v>
      </c>
      <c r="O405" s="290" t="s">
        <v>4623</v>
      </c>
      <c r="P405" s="290" t="s">
        <v>999</v>
      </c>
      <c r="Q405" s="291" t="s">
        <v>4623</v>
      </c>
      <c r="R405" s="276"/>
      <c r="S405" s="277">
        <f>IF(OR(C405="",C405=T$4),NA(),MATCH($B405&amp;$C405,'Smelter Reference List'!$J:$J,0))</f>
        <v>222</v>
      </c>
      <c r="T405" s="278"/>
      <c r="U405" s="278"/>
      <c r="V405" s="278"/>
      <c r="W405" s="278"/>
    </row>
    <row r="406" spans="1:23" s="269" customFormat="1" ht="20.25">
      <c r="A406" s="267"/>
      <c r="B406" s="275" t="s">
        <v>2436</v>
      </c>
      <c r="C406" s="275" t="s">
        <v>3831</v>
      </c>
      <c r="D406" s="168" t="s">
        <v>5314</v>
      </c>
      <c r="E406" s="168" t="s">
        <v>2294</v>
      </c>
      <c r="F406" s="168" t="s">
        <v>4623</v>
      </c>
      <c r="G406" s="168" t="s">
        <v>4623</v>
      </c>
      <c r="H406" s="292" t="s">
        <v>5315</v>
      </c>
      <c r="I406" s="293" t="s">
        <v>3442</v>
      </c>
      <c r="J406" s="293" t="s">
        <v>4623</v>
      </c>
      <c r="K406" s="290" t="s">
        <v>4623</v>
      </c>
      <c r="L406" s="290" t="s">
        <v>4623</v>
      </c>
      <c r="M406" s="290" t="s">
        <v>4623</v>
      </c>
      <c r="N406" s="290" t="s">
        <v>5206</v>
      </c>
      <c r="O406" s="290" t="s">
        <v>4623</v>
      </c>
      <c r="P406" s="290" t="s">
        <v>999</v>
      </c>
      <c r="Q406" s="291" t="s">
        <v>4623</v>
      </c>
      <c r="R406" s="276"/>
      <c r="S406" s="277">
        <f>IF(OR(C406="",C406=T$4),NA(),MATCH($B406&amp;$C406,'Smelter Reference List'!$J:$J,0))</f>
        <v>222</v>
      </c>
      <c r="T406" s="278"/>
      <c r="U406" s="278"/>
      <c r="V406" s="278"/>
      <c r="W406" s="278"/>
    </row>
    <row r="407" spans="1:23" s="269" customFormat="1" ht="20.25">
      <c r="A407" s="267"/>
      <c r="B407" s="275" t="s">
        <v>2436</v>
      </c>
      <c r="C407" s="275" t="s">
        <v>3831</v>
      </c>
      <c r="D407" s="168" t="s">
        <v>5316</v>
      </c>
      <c r="E407" s="168" t="s">
        <v>2294</v>
      </c>
      <c r="F407" s="168" t="s">
        <v>4623</v>
      </c>
      <c r="G407" s="168" t="s">
        <v>4623</v>
      </c>
      <c r="H407" s="292" t="s">
        <v>4623</v>
      </c>
      <c r="I407" s="293" t="s">
        <v>4623</v>
      </c>
      <c r="J407" s="293" t="s">
        <v>4623</v>
      </c>
      <c r="K407" s="290" t="s">
        <v>4623</v>
      </c>
      <c r="L407" s="290" t="s">
        <v>4623</v>
      </c>
      <c r="M407" s="290" t="s">
        <v>4623</v>
      </c>
      <c r="N407" s="290" t="s">
        <v>4623</v>
      </c>
      <c r="O407" s="290" t="s">
        <v>4623</v>
      </c>
      <c r="P407" s="290" t="s">
        <v>999</v>
      </c>
      <c r="Q407" s="291" t="s">
        <v>4623</v>
      </c>
      <c r="R407" s="276"/>
      <c r="S407" s="277">
        <f>IF(OR(C407="",C407=T$4),NA(),MATCH($B407&amp;$C407,'Smelter Reference List'!$J:$J,0))</f>
        <v>222</v>
      </c>
      <c r="T407" s="278"/>
      <c r="U407" s="278"/>
      <c r="V407" s="278"/>
      <c r="W407" s="278"/>
    </row>
    <row r="408" spans="1:23" s="269" customFormat="1" ht="20.25">
      <c r="A408" s="267"/>
      <c r="B408" s="275" t="s">
        <v>2436</v>
      </c>
      <c r="C408" s="275" t="s">
        <v>3831</v>
      </c>
      <c r="D408" s="168" t="s">
        <v>5317</v>
      </c>
      <c r="E408" s="168" t="s">
        <v>2294</v>
      </c>
      <c r="F408" s="168" t="s">
        <v>4623</v>
      </c>
      <c r="G408" s="168" t="s">
        <v>4623</v>
      </c>
      <c r="H408" s="292" t="s">
        <v>4623</v>
      </c>
      <c r="I408" s="293" t="s">
        <v>4623</v>
      </c>
      <c r="J408" s="293" t="s">
        <v>4623</v>
      </c>
      <c r="K408" s="290" t="s">
        <v>4623</v>
      </c>
      <c r="L408" s="290" t="s">
        <v>4623</v>
      </c>
      <c r="M408" s="290" t="s">
        <v>4623</v>
      </c>
      <c r="N408" s="290" t="s">
        <v>4623</v>
      </c>
      <c r="O408" s="290" t="s">
        <v>4623</v>
      </c>
      <c r="P408" s="290" t="s">
        <v>999</v>
      </c>
      <c r="Q408" s="291" t="s">
        <v>4623</v>
      </c>
      <c r="R408" s="276"/>
      <c r="S408" s="277">
        <f>IF(OR(C408="",C408=T$4),NA(),MATCH($B408&amp;$C408,'Smelter Reference List'!$J:$J,0))</f>
        <v>222</v>
      </c>
      <c r="T408" s="278"/>
      <c r="U408" s="278"/>
      <c r="V408" s="278"/>
      <c r="W408" s="278"/>
    </row>
    <row r="409" spans="1:23" s="269" customFormat="1" ht="20.25">
      <c r="A409" s="267"/>
      <c r="B409" s="275" t="s">
        <v>2436</v>
      </c>
      <c r="C409" s="275" t="s">
        <v>3831</v>
      </c>
      <c r="D409" s="168" t="s">
        <v>5318</v>
      </c>
      <c r="E409" s="168" t="s">
        <v>2294</v>
      </c>
      <c r="F409" s="168" t="s">
        <v>4623</v>
      </c>
      <c r="G409" s="168" t="s">
        <v>4623</v>
      </c>
      <c r="H409" s="292" t="s">
        <v>4623</v>
      </c>
      <c r="I409" s="293" t="s">
        <v>4623</v>
      </c>
      <c r="J409" s="293" t="s">
        <v>4623</v>
      </c>
      <c r="K409" s="290" t="s">
        <v>4623</v>
      </c>
      <c r="L409" s="290" t="s">
        <v>4623</v>
      </c>
      <c r="M409" s="290" t="s">
        <v>4623</v>
      </c>
      <c r="N409" s="290" t="s">
        <v>4623</v>
      </c>
      <c r="O409" s="290" t="s">
        <v>4623</v>
      </c>
      <c r="P409" s="290" t="s">
        <v>999</v>
      </c>
      <c r="Q409" s="291" t="s">
        <v>4623</v>
      </c>
      <c r="R409" s="276"/>
      <c r="S409" s="277">
        <f>IF(OR(C409="",C409=T$4),NA(),MATCH($B409&amp;$C409,'Smelter Reference List'!$J:$J,0))</f>
        <v>222</v>
      </c>
      <c r="T409" s="278"/>
      <c r="U409" s="278"/>
      <c r="V409" s="278"/>
      <c r="W409" s="278"/>
    </row>
    <row r="410" spans="1:23" s="269" customFormat="1" ht="20.25">
      <c r="A410" s="267"/>
      <c r="B410" s="275" t="s">
        <v>2436</v>
      </c>
      <c r="C410" s="275" t="s">
        <v>3831</v>
      </c>
      <c r="D410" s="168" t="s">
        <v>5319</v>
      </c>
      <c r="E410" s="168" t="s">
        <v>2294</v>
      </c>
      <c r="F410" s="168" t="s">
        <v>4623</v>
      </c>
      <c r="G410" s="168" t="s">
        <v>4623</v>
      </c>
      <c r="H410" s="292" t="s">
        <v>4623</v>
      </c>
      <c r="I410" s="293" t="s">
        <v>4623</v>
      </c>
      <c r="J410" s="293" t="s">
        <v>4623</v>
      </c>
      <c r="K410" s="290" t="s">
        <v>4623</v>
      </c>
      <c r="L410" s="290" t="s">
        <v>4623</v>
      </c>
      <c r="M410" s="290" t="s">
        <v>4623</v>
      </c>
      <c r="N410" s="290" t="s">
        <v>4623</v>
      </c>
      <c r="O410" s="290" t="s">
        <v>4623</v>
      </c>
      <c r="P410" s="290" t="s">
        <v>999</v>
      </c>
      <c r="Q410" s="291" t="s">
        <v>4623</v>
      </c>
      <c r="R410" s="276"/>
      <c r="S410" s="277">
        <f>IF(OR(C410="",C410=T$4),NA(),MATCH($B410&amp;$C410,'Smelter Reference List'!$J:$J,0))</f>
        <v>222</v>
      </c>
      <c r="T410" s="278"/>
      <c r="U410" s="278"/>
      <c r="V410" s="278"/>
      <c r="W410" s="278"/>
    </row>
    <row r="411" spans="1:23" s="269" customFormat="1" ht="20.25">
      <c r="A411" s="267"/>
      <c r="B411" s="275" t="s">
        <v>2436</v>
      </c>
      <c r="C411" s="275" t="s">
        <v>3831</v>
      </c>
      <c r="D411" s="168" t="s">
        <v>5320</v>
      </c>
      <c r="E411" s="168" t="s">
        <v>2294</v>
      </c>
      <c r="F411" s="168" t="s">
        <v>4623</v>
      </c>
      <c r="G411" s="168" t="s">
        <v>4623</v>
      </c>
      <c r="H411" s="292" t="s">
        <v>4623</v>
      </c>
      <c r="I411" s="293" t="s">
        <v>4623</v>
      </c>
      <c r="J411" s="293" t="s">
        <v>4623</v>
      </c>
      <c r="K411" s="290" t="s">
        <v>4623</v>
      </c>
      <c r="L411" s="290" t="s">
        <v>4623</v>
      </c>
      <c r="M411" s="290" t="s">
        <v>4623</v>
      </c>
      <c r="N411" s="290" t="s">
        <v>4623</v>
      </c>
      <c r="O411" s="290" t="s">
        <v>4623</v>
      </c>
      <c r="P411" s="290" t="s">
        <v>999</v>
      </c>
      <c r="Q411" s="291" t="s">
        <v>4623</v>
      </c>
      <c r="R411" s="276"/>
      <c r="S411" s="277">
        <f>IF(OR(C411="",C411=T$4),NA(),MATCH($B411&amp;$C411,'Smelter Reference List'!$J:$J,0))</f>
        <v>222</v>
      </c>
      <c r="T411" s="278"/>
      <c r="U411" s="278"/>
      <c r="V411" s="278"/>
      <c r="W411" s="278"/>
    </row>
    <row r="412" spans="1:23" s="269" customFormat="1" ht="20.25">
      <c r="A412" s="267"/>
      <c r="B412" s="275" t="s">
        <v>2436</v>
      </c>
      <c r="C412" s="275" t="s">
        <v>3831</v>
      </c>
      <c r="D412" s="168" t="s">
        <v>5321</v>
      </c>
      <c r="E412" s="168" t="s">
        <v>2294</v>
      </c>
      <c r="F412" s="168" t="s">
        <v>4623</v>
      </c>
      <c r="G412" s="168" t="s">
        <v>4623</v>
      </c>
      <c r="H412" s="292" t="s">
        <v>4623</v>
      </c>
      <c r="I412" s="293" t="s">
        <v>4623</v>
      </c>
      <c r="J412" s="293" t="s">
        <v>4623</v>
      </c>
      <c r="K412" s="290" t="s">
        <v>4623</v>
      </c>
      <c r="L412" s="290" t="s">
        <v>4623</v>
      </c>
      <c r="M412" s="290" t="s">
        <v>4623</v>
      </c>
      <c r="N412" s="290" t="s">
        <v>4623</v>
      </c>
      <c r="O412" s="290" t="s">
        <v>4623</v>
      </c>
      <c r="P412" s="290" t="s">
        <v>999</v>
      </c>
      <c r="Q412" s="291" t="s">
        <v>4623</v>
      </c>
      <c r="R412" s="276"/>
      <c r="S412" s="277">
        <f>IF(OR(C412="",C412=T$4),NA(),MATCH($B412&amp;$C412,'Smelter Reference List'!$J:$J,0))</f>
        <v>222</v>
      </c>
      <c r="T412" s="278"/>
      <c r="U412" s="278"/>
      <c r="V412" s="278"/>
      <c r="W412" s="278"/>
    </row>
    <row r="413" spans="1:23" s="269" customFormat="1" ht="20.25">
      <c r="A413" s="267"/>
      <c r="B413" s="275" t="s">
        <v>2436</v>
      </c>
      <c r="C413" s="275" t="s">
        <v>3831</v>
      </c>
      <c r="D413" s="168" t="s">
        <v>5322</v>
      </c>
      <c r="E413" s="168" t="s">
        <v>2294</v>
      </c>
      <c r="F413" s="168" t="s">
        <v>4623</v>
      </c>
      <c r="G413" s="168" t="s">
        <v>4623</v>
      </c>
      <c r="H413" s="292" t="s">
        <v>4623</v>
      </c>
      <c r="I413" s="293" t="s">
        <v>4623</v>
      </c>
      <c r="J413" s="293" t="s">
        <v>4623</v>
      </c>
      <c r="K413" s="290" t="s">
        <v>4623</v>
      </c>
      <c r="L413" s="290" t="s">
        <v>4623</v>
      </c>
      <c r="M413" s="290" t="s">
        <v>5323</v>
      </c>
      <c r="N413" s="290" t="s">
        <v>4623</v>
      </c>
      <c r="O413" s="290" t="s">
        <v>5324</v>
      </c>
      <c r="P413" s="290" t="s">
        <v>999</v>
      </c>
      <c r="Q413" s="291" t="s">
        <v>4623</v>
      </c>
      <c r="R413" s="276"/>
      <c r="S413" s="277">
        <f>IF(OR(C413="",C413=T$4),NA(),MATCH($B413&amp;$C413,'Smelter Reference List'!$J:$J,0))</f>
        <v>222</v>
      </c>
      <c r="T413" s="278"/>
      <c r="U413" s="278"/>
      <c r="V413" s="278"/>
      <c r="W413" s="278"/>
    </row>
    <row r="414" spans="1:23" s="269" customFormat="1" ht="20.25">
      <c r="A414" s="267"/>
      <c r="B414" s="275" t="s">
        <v>2436</v>
      </c>
      <c r="C414" s="275" t="s">
        <v>3831</v>
      </c>
      <c r="D414" s="168" t="s">
        <v>239</v>
      </c>
      <c r="E414" s="168" t="s">
        <v>2294</v>
      </c>
      <c r="F414" s="168" t="s">
        <v>4623</v>
      </c>
      <c r="G414" s="168" t="s">
        <v>4623</v>
      </c>
      <c r="H414" s="292" t="s">
        <v>5325</v>
      </c>
      <c r="I414" s="293" t="s">
        <v>3795</v>
      </c>
      <c r="J414" s="293" t="s">
        <v>3542</v>
      </c>
      <c r="K414" s="290" t="s">
        <v>4623</v>
      </c>
      <c r="L414" s="290" t="s">
        <v>5326</v>
      </c>
      <c r="M414" s="290" t="s">
        <v>4769</v>
      </c>
      <c r="N414" s="290" t="s">
        <v>5327</v>
      </c>
      <c r="O414" s="290" t="s">
        <v>5328</v>
      </c>
      <c r="P414" s="290" t="s">
        <v>999</v>
      </c>
      <c r="Q414" s="291" t="s">
        <v>4623</v>
      </c>
      <c r="R414" s="276"/>
      <c r="S414" s="277">
        <f>IF(OR(C414="",C414=T$4),NA(),MATCH($B414&amp;$C414,'Smelter Reference List'!$J:$J,0))</f>
        <v>222</v>
      </c>
      <c r="T414" s="278"/>
      <c r="U414" s="278"/>
      <c r="V414" s="278"/>
      <c r="W414" s="278"/>
    </row>
    <row r="415" spans="1:23" s="269" customFormat="1" ht="20.25">
      <c r="A415" s="267"/>
      <c r="B415" s="275" t="s">
        <v>2436</v>
      </c>
      <c r="C415" s="275" t="s">
        <v>3831</v>
      </c>
      <c r="D415" s="168" t="s">
        <v>5329</v>
      </c>
      <c r="E415" s="168" t="s">
        <v>2294</v>
      </c>
      <c r="F415" s="168" t="s">
        <v>4623</v>
      </c>
      <c r="G415" s="168" t="s">
        <v>4623</v>
      </c>
      <c r="H415" s="292" t="s">
        <v>4623</v>
      </c>
      <c r="I415" s="293" t="s">
        <v>4623</v>
      </c>
      <c r="J415" s="293" t="s">
        <v>4623</v>
      </c>
      <c r="K415" s="290" t="s">
        <v>5330</v>
      </c>
      <c r="L415" s="290" t="s">
        <v>4623</v>
      </c>
      <c r="M415" s="290" t="s">
        <v>4623</v>
      </c>
      <c r="N415" s="290" t="s">
        <v>4623</v>
      </c>
      <c r="O415" s="290" t="s">
        <v>4623</v>
      </c>
      <c r="P415" s="290" t="s">
        <v>999</v>
      </c>
      <c r="Q415" s="291" t="s">
        <v>5331</v>
      </c>
      <c r="R415" s="276"/>
      <c r="S415" s="277">
        <f>IF(OR(C415="",C415=T$4),NA(),MATCH($B415&amp;$C415,'Smelter Reference List'!$J:$J,0))</f>
        <v>222</v>
      </c>
      <c r="T415" s="278"/>
      <c r="U415" s="278"/>
      <c r="V415" s="278"/>
      <c r="W415" s="278"/>
    </row>
    <row r="416" spans="1:23" s="269" customFormat="1" ht="20.25">
      <c r="A416" s="267"/>
      <c r="B416" s="275" t="s">
        <v>2436</v>
      </c>
      <c r="C416" s="275" t="s">
        <v>3831</v>
      </c>
      <c r="D416" s="168" t="s">
        <v>5332</v>
      </c>
      <c r="E416" s="168" t="s">
        <v>2294</v>
      </c>
      <c r="F416" s="168" t="s">
        <v>4623</v>
      </c>
      <c r="G416" s="168" t="s">
        <v>4623</v>
      </c>
      <c r="H416" s="292" t="s">
        <v>4623</v>
      </c>
      <c r="I416" s="293" t="s">
        <v>4623</v>
      </c>
      <c r="J416" s="293" t="s">
        <v>4623</v>
      </c>
      <c r="K416" s="290" t="s">
        <v>4623</v>
      </c>
      <c r="L416" s="290" t="s">
        <v>4623</v>
      </c>
      <c r="M416" s="290" t="s">
        <v>4623</v>
      </c>
      <c r="N416" s="290" t="s">
        <v>4623</v>
      </c>
      <c r="O416" s="290" t="s">
        <v>4623</v>
      </c>
      <c r="P416" s="290" t="s">
        <v>999</v>
      </c>
      <c r="Q416" s="291" t="s">
        <v>4623</v>
      </c>
      <c r="R416" s="276"/>
      <c r="S416" s="277">
        <f>IF(OR(C416="",C416=T$4),NA(),MATCH($B416&amp;$C416,'Smelter Reference List'!$J:$J,0))</f>
        <v>222</v>
      </c>
      <c r="T416" s="278"/>
      <c r="U416" s="278"/>
      <c r="V416" s="278"/>
      <c r="W416" s="278"/>
    </row>
    <row r="417" spans="1:23" s="269" customFormat="1" ht="20.25">
      <c r="A417" s="267"/>
      <c r="B417" s="275" t="s">
        <v>2436</v>
      </c>
      <c r="C417" s="275" t="s">
        <v>3831</v>
      </c>
      <c r="D417" s="168" t="s">
        <v>5333</v>
      </c>
      <c r="E417" s="168" t="s">
        <v>2294</v>
      </c>
      <c r="F417" s="168" t="s">
        <v>4623</v>
      </c>
      <c r="G417" s="168" t="s">
        <v>4623</v>
      </c>
      <c r="H417" s="292" t="s">
        <v>4623</v>
      </c>
      <c r="I417" s="293" t="s">
        <v>5334</v>
      </c>
      <c r="J417" s="293" t="s">
        <v>3442</v>
      </c>
      <c r="K417" s="290" t="s">
        <v>4623</v>
      </c>
      <c r="L417" s="290" t="s">
        <v>5335</v>
      </c>
      <c r="M417" s="290" t="s">
        <v>4623</v>
      </c>
      <c r="N417" s="290" t="s">
        <v>4623</v>
      </c>
      <c r="O417" s="290" t="s">
        <v>4623</v>
      </c>
      <c r="P417" s="290" t="s">
        <v>999</v>
      </c>
      <c r="Q417" s="291" t="s">
        <v>4623</v>
      </c>
      <c r="R417" s="276"/>
      <c r="S417" s="277">
        <f>IF(OR(C417="",C417=T$4),NA(),MATCH($B417&amp;$C417,'Smelter Reference List'!$J:$J,0))</f>
        <v>222</v>
      </c>
      <c r="T417" s="278"/>
      <c r="U417" s="278"/>
      <c r="V417" s="278"/>
      <c r="W417" s="278"/>
    </row>
    <row r="418" spans="1:23" s="269" customFormat="1" ht="20.25">
      <c r="A418" s="267"/>
      <c r="B418" s="275" t="s">
        <v>2436</v>
      </c>
      <c r="C418" s="275" t="s">
        <v>3831</v>
      </c>
      <c r="D418" s="168" t="s">
        <v>5336</v>
      </c>
      <c r="E418" s="168" t="s">
        <v>2294</v>
      </c>
      <c r="F418" s="168" t="s">
        <v>4623</v>
      </c>
      <c r="G418" s="168" t="s">
        <v>4623</v>
      </c>
      <c r="H418" s="292" t="s">
        <v>5337</v>
      </c>
      <c r="I418" s="293" t="s">
        <v>3372</v>
      </c>
      <c r="J418" s="293" t="s">
        <v>4673</v>
      </c>
      <c r="K418" s="290" t="s">
        <v>4623</v>
      </c>
      <c r="L418" s="290" t="s">
        <v>4623</v>
      </c>
      <c r="M418" s="290" t="s">
        <v>4623</v>
      </c>
      <c r="N418" s="290" t="s">
        <v>4623</v>
      </c>
      <c r="O418" s="290" t="s">
        <v>4623</v>
      </c>
      <c r="P418" s="290" t="s">
        <v>999</v>
      </c>
      <c r="Q418" s="291" t="s">
        <v>4623</v>
      </c>
      <c r="R418" s="276"/>
      <c r="S418" s="277">
        <f>IF(OR(C418="",C418=T$4),NA(),MATCH($B418&amp;$C418,'Smelter Reference List'!$J:$J,0))</f>
        <v>222</v>
      </c>
      <c r="T418" s="278"/>
      <c r="U418" s="278"/>
      <c r="V418" s="278"/>
      <c r="W418" s="278"/>
    </row>
    <row r="419" spans="1:23" s="269" customFormat="1" ht="20.25">
      <c r="A419" s="267"/>
      <c r="B419" s="275" t="s">
        <v>2436</v>
      </c>
      <c r="C419" s="275" t="s">
        <v>3831</v>
      </c>
      <c r="D419" s="168" t="s">
        <v>5338</v>
      </c>
      <c r="E419" s="168" t="s">
        <v>2294</v>
      </c>
      <c r="F419" s="168" t="s">
        <v>4623</v>
      </c>
      <c r="G419" s="168" t="s">
        <v>4623</v>
      </c>
      <c r="H419" s="292" t="s">
        <v>4623</v>
      </c>
      <c r="I419" s="293" t="s">
        <v>4623</v>
      </c>
      <c r="J419" s="293" t="s">
        <v>4623</v>
      </c>
      <c r="K419" s="290" t="s">
        <v>4623</v>
      </c>
      <c r="L419" s="290" t="s">
        <v>4623</v>
      </c>
      <c r="M419" s="290" t="s">
        <v>4623</v>
      </c>
      <c r="N419" s="290" t="s">
        <v>4623</v>
      </c>
      <c r="O419" s="290" t="s">
        <v>4623</v>
      </c>
      <c r="P419" s="290" t="s">
        <v>999</v>
      </c>
      <c r="Q419" s="291" t="s">
        <v>4623</v>
      </c>
      <c r="R419" s="276"/>
      <c r="S419" s="277">
        <f>IF(OR(C419="",C419=T$4),NA(),MATCH($B419&amp;$C419,'Smelter Reference List'!$J:$J,0))</f>
        <v>222</v>
      </c>
      <c r="T419" s="278"/>
      <c r="U419" s="278"/>
      <c r="V419" s="278"/>
      <c r="W419" s="278"/>
    </row>
    <row r="420" spans="1:23" s="269" customFormat="1" ht="20.25">
      <c r="A420" s="267"/>
      <c r="B420" s="275" t="s">
        <v>2436</v>
      </c>
      <c r="C420" s="275" t="s">
        <v>3831</v>
      </c>
      <c r="D420" s="168" t="s">
        <v>5339</v>
      </c>
      <c r="E420" s="168" t="s">
        <v>2294</v>
      </c>
      <c r="F420" s="168" t="s">
        <v>4623</v>
      </c>
      <c r="G420" s="168" t="s">
        <v>4623</v>
      </c>
      <c r="H420" s="292" t="s">
        <v>4623</v>
      </c>
      <c r="I420" s="293" t="s">
        <v>4623</v>
      </c>
      <c r="J420" s="293" t="s">
        <v>4623</v>
      </c>
      <c r="K420" s="290" t="s">
        <v>4623</v>
      </c>
      <c r="L420" s="290" t="s">
        <v>4623</v>
      </c>
      <c r="M420" s="290" t="s">
        <v>4623</v>
      </c>
      <c r="N420" s="290" t="s">
        <v>4623</v>
      </c>
      <c r="O420" s="290" t="s">
        <v>4623</v>
      </c>
      <c r="P420" s="290" t="s">
        <v>999</v>
      </c>
      <c r="Q420" s="291" t="s">
        <v>4623</v>
      </c>
      <c r="R420" s="276"/>
      <c r="S420" s="277">
        <f>IF(OR(C420="",C420=T$4),NA(),MATCH($B420&amp;$C420,'Smelter Reference List'!$J:$J,0))</f>
        <v>222</v>
      </c>
      <c r="T420" s="278"/>
      <c r="U420" s="278"/>
      <c r="V420" s="278"/>
      <c r="W420" s="278"/>
    </row>
    <row r="421" spans="1:23" s="269" customFormat="1" ht="20.25">
      <c r="A421" s="267"/>
      <c r="B421" s="275" t="s">
        <v>2436</v>
      </c>
      <c r="C421" s="275" t="s">
        <v>3831</v>
      </c>
      <c r="D421" s="168" t="s">
        <v>5340</v>
      </c>
      <c r="E421" s="168" t="s">
        <v>2294</v>
      </c>
      <c r="F421" s="168" t="s">
        <v>4623</v>
      </c>
      <c r="G421" s="168" t="s">
        <v>4623</v>
      </c>
      <c r="H421" s="292" t="s">
        <v>4623</v>
      </c>
      <c r="I421" s="293" t="s">
        <v>4623</v>
      </c>
      <c r="J421" s="293" t="s">
        <v>4623</v>
      </c>
      <c r="K421" s="290" t="s">
        <v>4623</v>
      </c>
      <c r="L421" s="290" t="s">
        <v>4623</v>
      </c>
      <c r="M421" s="290" t="s">
        <v>4623</v>
      </c>
      <c r="N421" s="290" t="s">
        <v>4623</v>
      </c>
      <c r="O421" s="290" t="s">
        <v>4623</v>
      </c>
      <c r="P421" s="290" t="s">
        <v>999</v>
      </c>
      <c r="Q421" s="291" t="s">
        <v>4623</v>
      </c>
      <c r="R421" s="276"/>
      <c r="S421" s="277">
        <f>IF(OR(C421="",C421=T$4),NA(),MATCH($B421&amp;$C421,'Smelter Reference List'!$J:$J,0))</f>
        <v>222</v>
      </c>
      <c r="T421" s="278"/>
      <c r="U421" s="278"/>
      <c r="V421" s="278"/>
      <c r="W421" s="278"/>
    </row>
    <row r="422" spans="1:23" s="269" customFormat="1" ht="20.25">
      <c r="A422" s="267"/>
      <c r="B422" s="275" t="s">
        <v>2436</v>
      </c>
      <c r="C422" s="275" t="s">
        <v>3831</v>
      </c>
      <c r="D422" s="168" t="s">
        <v>5341</v>
      </c>
      <c r="E422" s="168" t="s">
        <v>2294</v>
      </c>
      <c r="F422" s="168" t="s">
        <v>4623</v>
      </c>
      <c r="G422" s="168" t="s">
        <v>4623</v>
      </c>
      <c r="H422" s="292" t="s">
        <v>4623</v>
      </c>
      <c r="I422" s="293" t="s">
        <v>4623</v>
      </c>
      <c r="J422" s="293" t="s">
        <v>4623</v>
      </c>
      <c r="K422" s="290" t="s">
        <v>4623</v>
      </c>
      <c r="L422" s="290" t="s">
        <v>4623</v>
      </c>
      <c r="M422" s="290" t="s">
        <v>4623</v>
      </c>
      <c r="N422" s="290" t="s">
        <v>4623</v>
      </c>
      <c r="O422" s="290" t="s">
        <v>4623</v>
      </c>
      <c r="P422" s="290" t="s">
        <v>999</v>
      </c>
      <c r="Q422" s="291" t="s">
        <v>4623</v>
      </c>
      <c r="R422" s="276"/>
      <c r="S422" s="277">
        <f>IF(OR(C422="",C422=T$4),NA(),MATCH($B422&amp;$C422,'Smelter Reference List'!$J:$J,0))</f>
        <v>222</v>
      </c>
      <c r="T422" s="278"/>
      <c r="U422" s="278"/>
      <c r="V422" s="278"/>
      <c r="W422" s="278"/>
    </row>
    <row r="423" spans="1:23" s="269" customFormat="1" ht="20.25">
      <c r="A423" s="267"/>
      <c r="B423" s="275" t="s">
        <v>2436</v>
      </c>
      <c r="C423" s="275" t="s">
        <v>3831</v>
      </c>
      <c r="D423" s="168" t="s">
        <v>5342</v>
      </c>
      <c r="E423" s="168" t="s">
        <v>2294</v>
      </c>
      <c r="F423" s="168" t="s">
        <v>4623</v>
      </c>
      <c r="G423" s="168" t="s">
        <v>4623</v>
      </c>
      <c r="H423" s="292" t="s">
        <v>4623</v>
      </c>
      <c r="I423" s="293" t="s">
        <v>4623</v>
      </c>
      <c r="J423" s="293" t="s">
        <v>4623</v>
      </c>
      <c r="K423" s="290" t="s">
        <v>4623</v>
      </c>
      <c r="L423" s="290" t="s">
        <v>4623</v>
      </c>
      <c r="M423" s="290" t="s">
        <v>4623</v>
      </c>
      <c r="N423" s="290" t="s">
        <v>4623</v>
      </c>
      <c r="O423" s="290" t="s">
        <v>4623</v>
      </c>
      <c r="P423" s="290" t="s">
        <v>999</v>
      </c>
      <c r="Q423" s="291" t="s">
        <v>4623</v>
      </c>
      <c r="R423" s="276"/>
      <c r="S423" s="277">
        <f>IF(OR(C423="",C423=T$4),NA(),MATCH($B423&amp;$C423,'Smelter Reference List'!$J:$J,0))</f>
        <v>222</v>
      </c>
      <c r="T423" s="278"/>
      <c r="U423" s="278"/>
      <c r="V423" s="278"/>
      <c r="W423" s="278"/>
    </row>
    <row r="424" spans="1:23" s="269" customFormat="1" ht="20.25">
      <c r="A424" s="267"/>
      <c r="B424" s="275" t="s">
        <v>2436</v>
      </c>
      <c r="C424" s="275" t="s">
        <v>3831</v>
      </c>
      <c r="D424" s="168" t="s">
        <v>5343</v>
      </c>
      <c r="E424" s="168" t="s">
        <v>2294</v>
      </c>
      <c r="F424" s="168" t="s">
        <v>4623</v>
      </c>
      <c r="G424" s="168" t="s">
        <v>4623</v>
      </c>
      <c r="H424" s="292" t="s">
        <v>5344</v>
      </c>
      <c r="I424" s="293" t="s">
        <v>4382</v>
      </c>
      <c r="J424" s="293" t="s">
        <v>3389</v>
      </c>
      <c r="K424" s="290" t="s">
        <v>4623</v>
      </c>
      <c r="L424" s="290" t="s">
        <v>4623</v>
      </c>
      <c r="M424" s="290" t="s">
        <v>4623</v>
      </c>
      <c r="N424" s="290" t="s">
        <v>4623</v>
      </c>
      <c r="O424" s="290" t="s">
        <v>4623</v>
      </c>
      <c r="P424" s="290" t="s">
        <v>999</v>
      </c>
      <c r="Q424" s="291" t="s">
        <v>4623</v>
      </c>
      <c r="R424" s="276"/>
      <c r="S424" s="277">
        <f>IF(OR(C424="",C424=T$4),NA(),MATCH($B424&amp;$C424,'Smelter Reference List'!$J:$J,0))</f>
        <v>222</v>
      </c>
      <c r="T424" s="278"/>
      <c r="U424" s="278"/>
      <c r="V424" s="278"/>
      <c r="W424" s="278"/>
    </row>
    <row r="425" spans="1:23" s="269" customFormat="1" ht="20.25">
      <c r="A425" s="267"/>
      <c r="B425" s="275" t="s">
        <v>2436</v>
      </c>
      <c r="C425" s="275" t="s">
        <v>3831</v>
      </c>
      <c r="D425" s="168" t="s">
        <v>5345</v>
      </c>
      <c r="E425" s="168" t="s">
        <v>2294</v>
      </c>
      <c r="F425" s="168" t="s">
        <v>4623</v>
      </c>
      <c r="G425" s="168" t="s">
        <v>4623</v>
      </c>
      <c r="H425" s="292" t="s">
        <v>5346</v>
      </c>
      <c r="I425" s="293" t="s">
        <v>4623</v>
      </c>
      <c r="J425" s="293" t="s">
        <v>4623</v>
      </c>
      <c r="K425" s="290" t="s">
        <v>4623</v>
      </c>
      <c r="L425" s="290" t="s">
        <v>4623</v>
      </c>
      <c r="M425" s="290" t="s">
        <v>4623</v>
      </c>
      <c r="N425" s="290" t="s">
        <v>4623</v>
      </c>
      <c r="O425" s="290" t="s">
        <v>4623</v>
      </c>
      <c r="P425" s="290" t="s">
        <v>999</v>
      </c>
      <c r="Q425" s="291" t="s">
        <v>4623</v>
      </c>
      <c r="R425" s="276"/>
      <c r="S425" s="277">
        <f>IF(OR(C425="",C425=T$4),NA(),MATCH($B425&amp;$C425,'Smelter Reference List'!$J:$J,0))</f>
        <v>222</v>
      </c>
      <c r="T425" s="278"/>
      <c r="U425" s="278"/>
      <c r="V425" s="278"/>
      <c r="W425" s="278"/>
    </row>
    <row r="426" spans="1:23" s="269" customFormat="1" ht="20.25">
      <c r="A426" s="267"/>
      <c r="B426" s="275" t="s">
        <v>2436</v>
      </c>
      <c r="C426" s="275" t="s">
        <v>3831</v>
      </c>
      <c r="D426" s="168" t="s">
        <v>5347</v>
      </c>
      <c r="E426" s="168" t="s">
        <v>2294</v>
      </c>
      <c r="F426" s="168" t="s">
        <v>4623</v>
      </c>
      <c r="G426" s="168" t="s">
        <v>4623</v>
      </c>
      <c r="H426" s="292" t="s">
        <v>5348</v>
      </c>
      <c r="I426" s="293" t="s">
        <v>3389</v>
      </c>
      <c r="J426" s="293" t="s">
        <v>3474</v>
      </c>
      <c r="K426" s="290" t="s">
        <v>4623</v>
      </c>
      <c r="L426" s="290" t="s">
        <v>4623</v>
      </c>
      <c r="M426" s="290" t="s">
        <v>4623</v>
      </c>
      <c r="N426" s="290" t="s">
        <v>4623</v>
      </c>
      <c r="O426" s="290" t="s">
        <v>4623</v>
      </c>
      <c r="P426" s="290" t="s">
        <v>999</v>
      </c>
      <c r="Q426" s="291" t="s">
        <v>4623</v>
      </c>
      <c r="R426" s="276"/>
      <c r="S426" s="277">
        <f>IF(OR(C426="",C426=T$4),NA(),MATCH($B426&amp;$C426,'Smelter Reference List'!$J:$J,0))</f>
        <v>222</v>
      </c>
      <c r="T426" s="278"/>
      <c r="U426" s="278"/>
      <c r="V426" s="278"/>
      <c r="W426" s="278"/>
    </row>
    <row r="427" spans="1:23" s="269" customFormat="1" ht="20.25">
      <c r="A427" s="267"/>
      <c r="B427" s="275" t="s">
        <v>2436</v>
      </c>
      <c r="C427" s="275" t="s">
        <v>3831</v>
      </c>
      <c r="D427" s="168" t="s">
        <v>5349</v>
      </c>
      <c r="E427" s="168" t="s">
        <v>2294</v>
      </c>
      <c r="F427" s="168" t="s">
        <v>4623</v>
      </c>
      <c r="G427" s="168" t="s">
        <v>4623</v>
      </c>
      <c r="H427" s="292" t="s">
        <v>4623</v>
      </c>
      <c r="I427" s="293" t="s">
        <v>4623</v>
      </c>
      <c r="J427" s="293" t="s">
        <v>4623</v>
      </c>
      <c r="K427" s="290" t="s">
        <v>4623</v>
      </c>
      <c r="L427" s="290" t="s">
        <v>4623</v>
      </c>
      <c r="M427" s="290" t="s">
        <v>4623</v>
      </c>
      <c r="N427" s="290" t="s">
        <v>4623</v>
      </c>
      <c r="O427" s="290" t="s">
        <v>4623</v>
      </c>
      <c r="P427" s="290" t="s">
        <v>999</v>
      </c>
      <c r="Q427" s="291" t="s">
        <v>4623</v>
      </c>
      <c r="R427" s="276"/>
      <c r="S427" s="277">
        <f>IF(OR(C427="",C427=T$4),NA(),MATCH($B427&amp;$C427,'Smelter Reference List'!$J:$J,0))</f>
        <v>222</v>
      </c>
      <c r="T427" s="278"/>
      <c r="U427" s="278"/>
      <c r="V427" s="278"/>
      <c r="W427" s="278"/>
    </row>
    <row r="428" spans="1:23" s="269" customFormat="1" ht="20.25">
      <c r="A428" s="267"/>
      <c r="B428" s="275" t="s">
        <v>2436</v>
      </c>
      <c r="C428" s="275" t="s">
        <v>3831</v>
      </c>
      <c r="D428" s="168" t="s">
        <v>5350</v>
      </c>
      <c r="E428" s="168" t="s">
        <v>2294</v>
      </c>
      <c r="F428" s="168" t="s">
        <v>4623</v>
      </c>
      <c r="G428" s="168" t="s">
        <v>4623</v>
      </c>
      <c r="H428" s="292" t="s">
        <v>5351</v>
      </c>
      <c r="I428" s="293" t="s">
        <v>4926</v>
      </c>
      <c r="J428" s="293" t="s">
        <v>5352</v>
      </c>
      <c r="K428" s="290" t="s">
        <v>5310</v>
      </c>
      <c r="L428" s="290" t="s">
        <v>4623</v>
      </c>
      <c r="M428" s="290" t="s">
        <v>4623</v>
      </c>
      <c r="N428" s="290" t="s">
        <v>4623</v>
      </c>
      <c r="O428" s="290" t="s">
        <v>4623</v>
      </c>
      <c r="P428" s="290" t="s">
        <v>999</v>
      </c>
      <c r="Q428" s="291" t="s">
        <v>4623</v>
      </c>
      <c r="R428" s="276"/>
      <c r="S428" s="277">
        <f>IF(OR(C428="",C428=T$4),NA(),MATCH($B428&amp;$C428,'Smelter Reference List'!$J:$J,0))</f>
        <v>222</v>
      </c>
      <c r="T428" s="278"/>
      <c r="U428" s="278"/>
      <c r="V428" s="278"/>
      <c r="W428" s="278"/>
    </row>
    <row r="429" spans="1:23" s="269" customFormat="1" ht="20.25">
      <c r="A429" s="267"/>
      <c r="B429" s="275" t="s">
        <v>2436</v>
      </c>
      <c r="C429" s="275" t="s">
        <v>3831</v>
      </c>
      <c r="D429" s="168" t="s">
        <v>5353</v>
      </c>
      <c r="E429" s="168" t="s">
        <v>2294</v>
      </c>
      <c r="F429" s="168" t="s">
        <v>4623</v>
      </c>
      <c r="G429" s="168" t="s">
        <v>4623</v>
      </c>
      <c r="H429" s="292" t="s">
        <v>4623</v>
      </c>
      <c r="I429" s="293" t="s">
        <v>4623</v>
      </c>
      <c r="J429" s="293" t="s">
        <v>4623</v>
      </c>
      <c r="K429" s="290" t="s">
        <v>4623</v>
      </c>
      <c r="L429" s="290" t="s">
        <v>4623</v>
      </c>
      <c r="M429" s="290" t="s">
        <v>4623</v>
      </c>
      <c r="N429" s="290" t="s">
        <v>4623</v>
      </c>
      <c r="O429" s="290" t="s">
        <v>4623</v>
      </c>
      <c r="P429" s="290" t="s">
        <v>999</v>
      </c>
      <c r="Q429" s="291" t="s">
        <v>4623</v>
      </c>
      <c r="R429" s="276"/>
      <c r="S429" s="277">
        <f>IF(OR(C429="",C429=T$4),NA(),MATCH($B429&amp;$C429,'Smelter Reference List'!$J:$J,0))</f>
        <v>222</v>
      </c>
      <c r="T429" s="278"/>
      <c r="U429" s="278"/>
      <c r="V429" s="278"/>
      <c r="W429" s="278"/>
    </row>
    <row r="430" spans="1:23" s="269" customFormat="1" ht="20.25">
      <c r="A430" s="267"/>
      <c r="B430" s="275" t="s">
        <v>2436</v>
      </c>
      <c r="C430" s="275" t="s">
        <v>3831</v>
      </c>
      <c r="D430" s="168" t="s">
        <v>5354</v>
      </c>
      <c r="E430" s="168" t="s">
        <v>2294</v>
      </c>
      <c r="F430" s="168" t="s">
        <v>4623</v>
      </c>
      <c r="G430" s="168" t="s">
        <v>4623</v>
      </c>
      <c r="H430" s="292" t="s">
        <v>4623</v>
      </c>
      <c r="I430" s="293" t="s">
        <v>4623</v>
      </c>
      <c r="J430" s="293" t="s">
        <v>4623</v>
      </c>
      <c r="K430" s="290" t="s">
        <v>4623</v>
      </c>
      <c r="L430" s="290" t="s">
        <v>4623</v>
      </c>
      <c r="M430" s="290" t="s">
        <v>4623</v>
      </c>
      <c r="N430" s="290" t="s">
        <v>4623</v>
      </c>
      <c r="O430" s="290" t="s">
        <v>4623</v>
      </c>
      <c r="P430" s="290" t="s">
        <v>999</v>
      </c>
      <c r="Q430" s="291" t="s">
        <v>4623</v>
      </c>
      <c r="R430" s="276"/>
      <c r="S430" s="277">
        <f>IF(OR(C430="",C430=T$4),NA(),MATCH($B430&amp;$C430,'Smelter Reference List'!$J:$J,0))</f>
        <v>222</v>
      </c>
      <c r="T430" s="278"/>
      <c r="U430" s="278"/>
      <c r="V430" s="278"/>
      <c r="W430" s="278"/>
    </row>
    <row r="431" spans="1:23" s="269" customFormat="1" ht="20.25">
      <c r="A431" s="267"/>
      <c r="B431" s="275" t="s">
        <v>2436</v>
      </c>
      <c r="C431" s="275" t="s">
        <v>3831</v>
      </c>
      <c r="D431" s="168" t="s">
        <v>5355</v>
      </c>
      <c r="E431" s="168" t="s">
        <v>2294</v>
      </c>
      <c r="F431" s="168" t="s">
        <v>4623</v>
      </c>
      <c r="G431" s="168" t="s">
        <v>4623</v>
      </c>
      <c r="H431" s="292" t="s">
        <v>5356</v>
      </c>
      <c r="I431" s="293" t="s">
        <v>5028</v>
      </c>
      <c r="J431" s="293" t="s">
        <v>5357</v>
      </c>
      <c r="K431" s="290" t="s">
        <v>4623</v>
      </c>
      <c r="L431" s="290" t="s">
        <v>5033</v>
      </c>
      <c r="M431" s="290" t="s">
        <v>4623</v>
      </c>
      <c r="N431" s="290" t="s">
        <v>4623</v>
      </c>
      <c r="O431" s="290" t="s">
        <v>5358</v>
      </c>
      <c r="P431" s="290" t="s">
        <v>999</v>
      </c>
      <c r="Q431" s="291" t="s">
        <v>4623</v>
      </c>
      <c r="R431" s="276"/>
      <c r="S431" s="277">
        <f>IF(OR(C431="",C431=T$4),NA(),MATCH($B431&amp;$C431,'Smelter Reference List'!$J:$J,0))</f>
        <v>222</v>
      </c>
      <c r="T431" s="278"/>
      <c r="U431" s="278"/>
      <c r="V431" s="278"/>
      <c r="W431" s="278"/>
    </row>
    <row r="432" spans="1:23" s="269" customFormat="1" ht="20.25">
      <c r="A432" s="267"/>
      <c r="B432" s="275" t="s">
        <v>2436</v>
      </c>
      <c r="C432" s="275" t="s">
        <v>3831</v>
      </c>
      <c r="D432" s="168" t="s">
        <v>5359</v>
      </c>
      <c r="E432" s="168" t="s">
        <v>2294</v>
      </c>
      <c r="F432" s="168" t="s">
        <v>4623</v>
      </c>
      <c r="G432" s="168" t="s">
        <v>4623</v>
      </c>
      <c r="H432" s="292" t="s">
        <v>4623</v>
      </c>
      <c r="I432" s="293" t="s">
        <v>4623</v>
      </c>
      <c r="J432" s="293" t="s">
        <v>4623</v>
      </c>
      <c r="K432" s="290" t="s">
        <v>4623</v>
      </c>
      <c r="L432" s="290" t="s">
        <v>4623</v>
      </c>
      <c r="M432" s="290" t="s">
        <v>4623</v>
      </c>
      <c r="N432" s="290" t="s">
        <v>4623</v>
      </c>
      <c r="O432" s="290" t="s">
        <v>4623</v>
      </c>
      <c r="P432" s="290" t="s">
        <v>999</v>
      </c>
      <c r="Q432" s="291" t="s">
        <v>4623</v>
      </c>
      <c r="R432" s="276"/>
      <c r="S432" s="277">
        <f>IF(OR(C432="",C432=T$4),NA(),MATCH($B432&amp;$C432,'Smelter Reference List'!$J:$J,0))</f>
        <v>222</v>
      </c>
      <c r="T432" s="278"/>
      <c r="U432" s="278"/>
      <c r="V432" s="278"/>
      <c r="W432" s="278"/>
    </row>
    <row r="433" spans="1:23" s="269" customFormat="1" ht="20.25">
      <c r="A433" s="267"/>
      <c r="B433" s="275" t="s">
        <v>2436</v>
      </c>
      <c r="C433" s="275" t="s">
        <v>3831</v>
      </c>
      <c r="D433" s="168" t="s">
        <v>5360</v>
      </c>
      <c r="E433" s="168" t="s">
        <v>2294</v>
      </c>
      <c r="F433" s="168" t="s">
        <v>4623</v>
      </c>
      <c r="G433" s="168" t="s">
        <v>4623</v>
      </c>
      <c r="H433" s="292" t="s">
        <v>5027</v>
      </c>
      <c r="I433" s="293" t="s">
        <v>5028</v>
      </c>
      <c r="J433" s="293" t="s">
        <v>3364</v>
      </c>
      <c r="K433" s="290" t="s">
        <v>5029</v>
      </c>
      <c r="L433" s="290" t="s">
        <v>4623</v>
      </c>
      <c r="M433" s="290" t="s">
        <v>4623</v>
      </c>
      <c r="N433" s="290" t="s">
        <v>4623</v>
      </c>
      <c r="O433" s="290" t="s">
        <v>4623</v>
      </c>
      <c r="P433" s="290" t="s">
        <v>999</v>
      </c>
      <c r="Q433" s="291" t="s">
        <v>4623</v>
      </c>
      <c r="R433" s="276"/>
      <c r="S433" s="277">
        <f>IF(OR(C433="",C433=T$4),NA(),MATCH($B433&amp;$C433,'Smelter Reference List'!$J:$J,0))</f>
        <v>222</v>
      </c>
      <c r="T433" s="278"/>
      <c r="U433" s="278"/>
      <c r="V433" s="278"/>
      <c r="W433" s="278"/>
    </row>
    <row r="434" spans="1:23" s="269" customFormat="1" ht="20.25">
      <c r="A434" s="267"/>
      <c r="B434" s="275" t="s">
        <v>2436</v>
      </c>
      <c r="C434" s="275" t="s">
        <v>3831</v>
      </c>
      <c r="D434" s="168" t="s">
        <v>5361</v>
      </c>
      <c r="E434" s="168" t="s">
        <v>2294</v>
      </c>
      <c r="F434" s="168" t="s">
        <v>4623</v>
      </c>
      <c r="G434" s="168" t="s">
        <v>4623</v>
      </c>
      <c r="H434" s="292" t="s">
        <v>4623</v>
      </c>
      <c r="I434" s="293" t="s">
        <v>4623</v>
      </c>
      <c r="J434" s="293" t="s">
        <v>4623</v>
      </c>
      <c r="K434" s="290" t="s">
        <v>4623</v>
      </c>
      <c r="L434" s="290" t="s">
        <v>4623</v>
      </c>
      <c r="M434" s="290" t="s">
        <v>4623</v>
      </c>
      <c r="N434" s="290" t="s">
        <v>4623</v>
      </c>
      <c r="O434" s="290" t="s">
        <v>4623</v>
      </c>
      <c r="P434" s="290" t="s">
        <v>999</v>
      </c>
      <c r="Q434" s="291" t="s">
        <v>4623</v>
      </c>
      <c r="R434" s="276"/>
      <c r="S434" s="277">
        <f>IF(OR(C434="",C434=T$4),NA(),MATCH($B434&amp;$C434,'Smelter Reference List'!$J:$J,0))</f>
        <v>222</v>
      </c>
      <c r="T434" s="278"/>
      <c r="U434" s="278"/>
      <c r="V434" s="278"/>
      <c r="W434" s="278"/>
    </row>
    <row r="435" spans="1:23" s="269" customFormat="1" ht="20.25">
      <c r="A435" s="267"/>
      <c r="B435" s="275" t="s">
        <v>2436</v>
      </c>
      <c r="C435" s="275" t="s">
        <v>3831</v>
      </c>
      <c r="D435" s="168" t="s">
        <v>5362</v>
      </c>
      <c r="E435" s="168" t="s">
        <v>2294</v>
      </c>
      <c r="F435" s="168" t="s">
        <v>4623</v>
      </c>
      <c r="G435" s="168" t="s">
        <v>4623</v>
      </c>
      <c r="H435" s="292" t="s">
        <v>4623</v>
      </c>
      <c r="I435" s="293" t="s">
        <v>4623</v>
      </c>
      <c r="J435" s="293" t="s">
        <v>4623</v>
      </c>
      <c r="K435" s="290" t="s">
        <v>4623</v>
      </c>
      <c r="L435" s="290" t="s">
        <v>4623</v>
      </c>
      <c r="M435" s="290" t="s">
        <v>4623</v>
      </c>
      <c r="N435" s="290" t="s">
        <v>4623</v>
      </c>
      <c r="O435" s="290" t="s">
        <v>4623</v>
      </c>
      <c r="P435" s="290" t="s">
        <v>999</v>
      </c>
      <c r="Q435" s="291" t="s">
        <v>4623</v>
      </c>
      <c r="R435" s="276"/>
      <c r="S435" s="277">
        <f>IF(OR(C435="",C435=T$4),NA(),MATCH($B435&amp;$C435,'Smelter Reference List'!$J:$J,0))</f>
        <v>222</v>
      </c>
      <c r="T435" s="278"/>
      <c r="U435" s="278"/>
      <c r="V435" s="278"/>
      <c r="W435" s="278"/>
    </row>
    <row r="436" spans="1:23" s="269" customFormat="1" ht="20.25">
      <c r="A436" s="267"/>
      <c r="B436" s="275" t="s">
        <v>2436</v>
      </c>
      <c r="C436" s="275" t="s">
        <v>3831</v>
      </c>
      <c r="D436" s="168" t="s">
        <v>5363</v>
      </c>
      <c r="E436" s="168" t="s">
        <v>2294</v>
      </c>
      <c r="F436" s="168" t="s">
        <v>4623</v>
      </c>
      <c r="G436" s="168" t="s">
        <v>4623</v>
      </c>
      <c r="H436" s="292" t="s">
        <v>4623</v>
      </c>
      <c r="I436" s="293" t="s">
        <v>4623</v>
      </c>
      <c r="J436" s="293" t="s">
        <v>4623</v>
      </c>
      <c r="K436" s="290" t="s">
        <v>4623</v>
      </c>
      <c r="L436" s="290" t="s">
        <v>4623</v>
      </c>
      <c r="M436" s="290" t="s">
        <v>4623</v>
      </c>
      <c r="N436" s="290" t="s">
        <v>4623</v>
      </c>
      <c r="O436" s="290" t="s">
        <v>4623</v>
      </c>
      <c r="P436" s="290" t="s">
        <v>999</v>
      </c>
      <c r="Q436" s="291" t="s">
        <v>4623</v>
      </c>
      <c r="R436" s="276"/>
      <c r="S436" s="277">
        <f>IF(OR(C436="",C436=T$4),NA(),MATCH($B436&amp;$C436,'Smelter Reference List'!$J:$J,0))</f>
        <v>222</v>
      </c>
      <c r="T436" s="278"/>
      <c r="U436" s="278"/>
      <c r="V436" s="278"/>
      <c r="W436" s="278"/>
    </row>
    <row r="437" spans="1:23" s="269" customFormat="1" ht="20.25">
      <c r="A437" s="267"/>
      <c r="B437" s="275" t="s">
        <v>2436</v>
      </c>
      <c r="C437" s="275" t="s">
        <v>3831</v>
      </c>
      <c r="D437" s="168" t="s">
        <v>5364</v>
      </c>
      <c r="E437" s="168" t="s">
        <v>2294</v>
      </c>
      <c r="F437" s="168" t="s">
        <v>4623</v>
      </c>
      <c r="G437" s="168" t="s">
        <v>4623</v>
      </c>
      <c r="H437" s="292" t="s">
        <v>5028</v>
      </c>
      <c r="I437" s="293" t="s">
        <v>5365</v>
      </c>
      <c r="J437" s="293" t="s">
        <v>5366</v>
      </c>
      <c r="K437" s="290" t="s">
        <v>5367</v>
      </c>
      <c r="L437" s="290" t="s">
        <v>5368</v>
      </c>
      <c r="M437" s="290" t="s">
        <v>999</v>
      </c>
      <c r="N437" s="290" t="s">
        <v>4623</v>
      </c>
      <c r="O437" s="290" t="s">
        <v>4623</v>
      </c>
      <c r="P437" s="290" t="s">
        <v>999</v>
      </c>
      <c r="Q437" s="291" t="s">
        <v>4623</v>
      </c>
      <c r="R437" s="276"/>
      <c r="S437" s="277">
        <f>IF(OR(C437="",C437=T$4),NA(),MATCH($B437&amp;$C437,'Smelter Reference List'!$J:$J,0))</f>
        <v>222</v>
      </c>
      <c r="T437" s="278"/>
      <c r="U437" s="278"/>
      <c r="V437" s="278"/>
      <c r="W437" s="278"/>
    </row>
    <row r="438" spans="1:23" s="269" customFormat="1" ht="20.25">
      <c r="A438" s="267"/>
      <c r="B438" s="275" t="s">
        <v>2436</v>
      </c>
      <c r="C438" s="275" t="s">
        <v>3831</v>
      </c>
      <c r="D438" s="168" t="s">
        <v>5369</v>
      </c>
      <c r="E438" s="168" t="s">
        <v>2294</v>
      </c>
      <c r="F438" s="168" t="s">
        <v>4623</v>
      </c>
      <c r="G438" s="168" t="s">
        <v>4623</v>
      </c>
      <c r="H438" s="292" t="s">
        <v>4623</v>
      </c>
      <c r="I438" s="293" t="s">
        <v>4623</v>
      </c>
      <c r="J438" s="293" t="s">
        <v>4623</v>
      </c>
      <c r="K438" s="290" t="s">
        <v>4623</v>
      </c>
      <c r="L438" s="290" t="s">
        <v>4623</v>
      </c>
      <c r="M438" s="290" t="s">
        <v>4623</v>
      </c>
      <c r="N438" s="290" t="s">
        <v>4623</v>
      </c>
      <c r="O438" s="290" t="s">
        <v>4623</v>
      </c>
      <c r="P438" s="290" t="s">
        <v>999</v>
      </c>
      <c r="Q438" s="291" t="s">
        <v>4623</v>
      </c>
      <c r="R438" s="276"/>
      <c r="S438" s="277">
        <f>IF(OR(C438="",C438=T$4),NA(),MATCH($B438&amp;$C438,'Smelter Reference List'!$J:$J,0))</f>
        <v>222</v>
      </c>
      <c r="T438" s="278"/>
      <c r="U438" s="278"/>
      <c r="V438" s="278"/>
      <c r="W438" s="278"/>
    </row>
    <row r="439" spans="1:23" s="269" customFormat="1" ht="20.25">
      <c r="A439" s="267"/>
      <c r="B439" s="275" t="s">
        <v>2436</v>
      </c>
      <c r="C439" s="275" t="s">
        <v>3831</v>
      </c>
      <c r="D439" s="168" t="s">
        <v>5370</v>
      </c>
      <c r="E439" s="168" t="s">
        <v>2294</v>
      </c>
      <c r="F439" s="168" t="s">
        <v>4623</v>
      </c>
      <c r="G439" s="168" t="s">
        <v>4623</v>
      </c>
      <c r="H439" s="292" t="s">
        <v>4623</v>
      </c>
      <c r="I439" s="293" t="s">
        <v>4623</v>
      </c>
      <c r="J439" s="293" t="s">
        <v>4623</v>
      </c>
      <c r="K439" s="290" t="s">
        <v>4623</v>
      </c>
      <c r="L439" s="290" t="s">
        <v>4623</v>
      </c>
      <c r="M439" s="290" t="s">
        <v>4623</v>
      </c>
      <c r="N439" s="290" t="s">
        <v>4623</v>
      </c>
      <c r="O439" s="290" t="s">
        <v>4623</v>
      </c>
      <c r="P439" s="290" t="s">
        <v>999</v>
      </c>
      <c r="Q439" s="291" t="s">
        <v>4623</v>
      </c>
      <c r="R439" s="276"/>
      <c r="S439" s="277">
        <f>IF(OR(C439="",C439=T$4),NA(),MATCH($B439&amp;$C439,'Smelter Reference List'!$J:$J,0))</f>
        <v>222</v>
      </c>
      <c r="T439" s="278"/>
      <c r="U439" s="278"/>
      <c r="V439" s="278"/>
      <c r="W439" s="278"/>
    </row>
    <row r="440" spans="1:23" s="269" customFormat="1" ht="20.25">
      <c r="A440" s="267"/>
      <c r="B440" s="275" t="s">
        <v>2436</v>
      </c>
      <c r="C440" s="275" t="s">
        <v>3831</v>
      </c>
      <c r="D440" s="168" t="s">
        <v>5371</v>
      </c>
      <c r="E440" s="168" t="s">
        <v>2294</v>
      </c>
      <c r="F440" s="168" t="s">
        <v>4623</v>
      </c>
      <c r="G440" s="168" t="s">
        <v>4623</v>
      </c>
      <c r="H440" s="292" t="s">
        <v>5372</v>
      </c>
      <c r="I440" s="293" t="s">
        <v>4623</v>
      </c>
      <c r="J440" s="293" t="s">
        <v>4623</v>
      </c>
      <c r="K440" s="290" t="s">
        <v>4623</v>
      </c>
      <c r="L440" s="290" t="s">
        <v>4623</v>
      </c>
      <c r="M440" s="290" t="s">
        <v>4623</v>
      </c>
      <c r="N440" s="290" t="s">
        <v>4623</v>
      </c>
      <c r="O440" s="290" t="s">
        <v>4623</v>
      </c>
      <c r="P440" s="290" t="s">
        <v>999</v>
      </c>
      <c r="Q440" s="291" t="s">
        <v>4623</v>
      </c>
      <c r="R440" s="276"/>
      <c r="S440" s="277">
        <f>IF(OR(C440="",C440=T$4),NA(),MATCH($B440&amp;$C440,'Smelter Reference List'!$J:$J,0))</f>
        <v>222</v>
      </c>
      <c r="T440" s="278"/>
      <c r="U440" s="278"/>
      <c r="V440" s="278"/>
      <c r="W440" s="278"/>
    </row>
    <row r="441" spans="1:23" s="269" customFormat="1" ht="20.25">
      <c r="A441" s="267"/>
      <c r="B441" s="275" t="s">
        <v>2436</v>
      </c>
      <c r="C441" s="275" t="s">
        <v>3831</v>
      </c>
      <c r="D441" s="168" t="s">
        <v>5373</v>
      </c>
      <c r="E441" s="168" t="s">
        <v>2294</v>
      </c>
      <c r="F441" s="168" t="s">
        <v>4623</v>
      </c>
      <c r="G441" s="168" t="s">
        <v>4623</v>
      </c>
      <c r="H441" s="292" t="s">
        <v>4623</v>
      </c>
      <c r="I441" s="293" t="s">
        <v>3389</v>
      </c>
      <c r="J441" s="293" t="s">
        <v>3474</v>
      </c>
      <c r="K441" s="290" t="s">
        <v>4623</v>
      </c>
      <c r="L441" s="290" t="s">
        <v>4623</v>
      </c>
      <c r="M441" s="290" t="s">
        <v>4623</v>
      </c>
      <c r="N441" s="290" t="s">
        <v>4623</v>
      </c>
      <c r="O441" s="290" t="s">
        <v>4623</v>
      </c>
      <c r="P441" s="290" t="s">
        <v>999</v>
      </c>
      <c r="Q441" s="291" t="s">
        <v>4623</v>
      </c>
      <c r="R441" s="276"/>
      <c r="S441" s="277">
        <f>IF(OR(C441="",C441=T$4),NA(),MATCH($B441&amp;$C441,'Smelter Reference List'!$J:$J,0))</f>
        <v>222</v>
      </c>
      <c r="T441" s="278"/>
      <c r="U441" s="278"/>
      <c r="V441" s="278"/>
      <c r="W441" s="278"/>
    </row>
    <row r="442" spans="1:23" s="269" customFormat="1" ht="20.25">
      <c r="A442" s="267"/>
      <c r="B442" s="275" t="s">
        <v>2436</v>
      </c>
      <c r="C442" s="275" t="s">
        <v>3831</v>
      </c>
      <c r="D442" s="168" t="s">
        <v>5374</v>
      </c>
      <c r="E442" s="168" t="s">
        <v>2294</v>
      </c>
      <c r="F442" s="168" t="s">
        <v>4623</v>
      </c>
      <c r="G442" s="168" t="s">
        <v>4623</v>
      </c>
      <c r="H442" s="292" t="s">
        <v>4623</v>
      </c>
      <c r="I442" s="293" t="s">
        <v>4623</v>
      </c>
      <c r="J442" s="293" t="s">
        <v>4623</v>
      </c>
      <c r="K442" s="290" t="s">
        <v>4623</v>
      </c>
      <c r="L442" s="290" t="s">
        <v>4623</v>
      </c>
      <c r="M442" s="290" t="s">
        <v>4623</v>
      </c>
      <c r="N442" s="290" t="s">
        <v>4623</v>
      </c>
      <c r="O442" s="290" t="s">
        <v>4623</v>
      </c>
      <c r="P442" s="290" t="s">
        <v>999</v>
      </c>
      <c r="Q442" s="291" t="s">
        <v>4623</v>
      </c>
      <c r="R442" s="276"/>
      <c r="S442" s="277">
        <f>IF(OR(C442="",C442=T$4),NA(),MATCH($B442&amp;$C442,'Smelter Reference List'!$J:$J,0))</f>
        <v>222</v>
      </c>
      <c r="T442" s="278"/>
      <c r="U442" s="278"/>
      <c r="V442" s="278"/>
      <c r="W442" s="278"/>
    </row>
    <row r="443" spans="1:23" s="269" customFormat="1" ht="20.25">
      <c r="A443" s="267"/>
      <c r="B443" s="275" t="s">
        <v>2436</v>
      </c>
      <c r="C443" s="275" t="s">
        <v>3831</v>
      </c>
      <c r="D443" s="168" t="s">
        <v>5375</v>
      </c>
      <c r="E443" s="168" t="s">
        <v>2294</v>
      </c>
      <c r="F443" s="168" t="s">
        <v>4623</v>
      </c>
      <c r="G443" s="168" t="s">
        <v>4623</v>
      </c>
      <c r="H443" s="292" t="s">
        <v>4623</v>
      </c>
      <c r="I443" s="293" t="s">
        <v>4623</v>
      </c>
      <c r="J443" s="293" t="s">
        <v>4623</v>
      </c>
      <c r="K443" s="290" t="s">
        <v>4623</v>
      </c>
      <c r="L443" s="290" t="s">
        <v>4623</v>
      </c>
      <c r="M443" s="290" t="s">
        <v>5376</v>
      </c>
      <c r="N443" s="290" t="s">
        <v>4664</v>
      </c>
      <c r="O443" s="290" t="s">
        <v>4667</v>
      </c>
      <c r="P443" s="290" t="s">
        <v>999</v>
      </c>
      <c r="Q443" s="291" t="s">
        <v>1005</v>
      </c>
      <c r="R443" s="276"/>
      <c r="S443" s="277">
        <f>IF(OR(C443="",C443=T$4),NA(),MATCH($B443&amp;$C443,'Smelter Reference List'!$J:$J,0))</f>
        <v>222</v>
      </c>
      <c r="T443" s="278"/>
      <c r="U443" s="278"/>
      <c r="V443" s="278"/>
      <c r="W443" s="278"/>
    </row>
    <row r="444" spans="1:23" s="269" customFormat="1" ht="20.25">
      <c r="A444" s="267"/>
      <c r="B444" s="275" t="s">
        <v>2436</v>
      </c>
      <c r="C444" s="275" t="s">
        <v>3831</v>
      </c>
      <c r="D444" s="168" t="s">
        <v>5377</v>
      </c>
      <c r="E444" s="168" t="s">
        <v>2294</v>
      </c>
      <c r="F444" s="168" t="s">
        <v>4623</v>
      </c>
      <c r="G444" s="168" t="s">
        <v>4623</v>
      </c>
      <c r="H444" s="292" t="s">
        <v>4623</v>
      </c>
      <c r="I444" s="293" t="s">
        <v>4623</v>
      </c>
      <c r="J444" s="293" t="s">
        <v>4623</v>
      </c>
      <c r="K444" s="290" t="s">
        <v>4623</v>
      </c>
      <c r="L444" s="290" t="s">
        <v>4623</v>
      </c>
      <c r="M444" s="290" t="s">
        <v>4623</v>
      </c>
      <c r="N444" s="290" t="s">
        <v>4623</v>
      </c>
      <c r="O444" s="290" t="s">
        <v>4623</v>
      </c>
      <c r="P444" s="290" t="s">
        <v>999</v>
      </c>
      <c r="Q444" s="291" t="s">
        <v>4623</v>
      </c>
      <c r="R444" s="276"/>
      <c r="S444" s="277">
        <f>IF(OR(C444="",C444=T$4),NA(),MATCH($B444&amp;$C444,'Smelter Reference List'!$J:$J,0))</f>
        <v>222</v>
      </c>
      <c r="T444" s="278"/>
      <c r="U444" s="278"/>
      <c r="V444" s="278"/>
      <c r="W444" s="278"/>
    </row>
    <row r="445" spans="1:23" s="269" customFormat="1" ht="20.25">
      <c r="A445" s="267"/>
      <c r="B445" s="275" t="s">
        <v>2436</v>
      </c>
      <c r="C445" s="275" t="s">
        <v>3831</v>
      </c>
      <c r="D445" s="168" t="s">
        <v>5378</v>
      </c>
      <c r="E445" s="168" t="s">
        <v>2294</v>
      </c>
      <c r="F445" s="168" t="s">
        <v>4623</v>
      </c>
      <c r="G445" s="168" t="s">
        <v>4623</v>
      </c>
      <c r="H445" s="292" t="s">
        <v>5379</v>
      </c>
      <c r="I445" s="293" t="s">
        <v>3389</v>
      </c>
      <c r="J445" s="293" t="s">
        <v>4623</v>
      </c>
      <c r="K445" s="290" t="s">
        <v>5380</v>
      </c>
      <c r="L445" s="290" t="s">
        <v>4623</v>
      </c>
      <c r="M445" s="290" t="s">
        <v>4623</v>
      </c>
      <c r="N445" s="290" t="s">
        <v>4623</v>
      </c>
      <c r="O445" s="290" t="s">
        <v>4623</v>
      </c>
      <c r="P445" s="290" t="s">
        <v>999</v>
      </c>
      <c r="Q445" s="291" t="s">
        <v>4623</v>
      </c>
      <c r="R445" s="276"/>
      <c r="S445" s="277">
        <f>IF(OR(C445="",C445=T$4),NA(),MATCH($B445&amp;$C445,'Smelter Reference List'!$J:$J,0))</f>
        <v>222</v>
      </c>
      <c r="T445" s="278"/>
      <c r="U445" s="278"/>
      <c r="V445" s="278"/>
      <c r="W445" s="278"/>
    </row>
    <row r="446" spans="1:23" s="269" customFormat="1" ht="20.25">
      <c r="A446" s="267"/>
      <c r="B446" s="275" t="s">
        <v>2436</v>
      </c>
      <c r="C446" s="275" t="s">
        <v>3831</v>
      </c>
      <c r="D446" s="168" t="s">
        <v>5381</v>
      </c>
      <c r="E446" s="168" t="s">
        <v>2294</v>
      </c>
      <c r="F446" s="168" t="s">
        <v>4623</v>
      </c>
      <c r="G446" s="168" t="s">
        <v>4623</v>
      </c>
      <c r="H446" s="292" t="s">
        <v>5382</v>
      </c>
      <c r="I446" s="293" t="s">
        <v>3389</v>
      </c>
      <c r="J446" s="293" t="s">
        <v>4926</v>
      </c>
      <c r="K446" s="290" t="s">
        <v>4623</v>
      </c>
      <c r="L446" s="290" t="s">
        <v>4623</v>
      </c>
      <c r="M446" s="290" t="s">
        <v>4623</v>
      </c>
      <c r="N446" s="290" t="s">
        <v>4623</v>
      </c>
      <c r="O446" s="290" t="s">
        <v>4623</v>
      </c>
      <c r="P446" s="290" t="s">
        <v>999</v>
      </c>
      <c r="Q446" s="291" t="s">
        <v>4623</v>
      </c>
      <c r="R446" s="276"/>
      <c r="S446" s="277">
        <f>IF(OR(C446="",C446=T$4),NA(),MATCH($B446&amp;$C446,'Smelter Reference List'!$J:$J,0))</f>
        <v>222</v>
      </c>
      <c r="T446" s="278"/>
      <c r="U446" s="278"/>
      <c r="V446" s="278"/>
      <c r="W446" s="278"/>
    </row>
    <row r="447" spans="1:23" s="269" customFormat="1" ht="20.25">
      <c r="A447" s="267"/>
      <c r="B447" s="275" t="s">
        <v>2436</v>
      </c>
      <c r="C447" s="275" t="s">
        <v>3831</v>
      </c>
      <c r="D447" s="168" t="s">
        <v>5383</v>
      </c>
      <c r="E447" s="168" t="s">
        <v>2294</v>
      </c>
      <c r="F447" s="168" t="s">
        <v>4623</v>
      </c>
      <c r="G447" s="168" t="s">
        <v>4623</v>
      </c>
      <c r="H447" s="292" t="s">
        <v>4623</v>
      </c>
      <c r="I447" s="293" t="s">
        <v>4623</v>
      </c>
      <c r="J447" s="293" t="s">
        <v>4623</v>
      </c>
      <c r="K447" s="290" t="s">
        <v>4623</v>
      </c>
      <c r="L447" s="290" t="s">
        <v>4623</v>
      </c>
      <c r="M447" s="290" t="s">
        <v>4623</v>
      </c>
      <c r="N447" s="290" t="s">
        <v>4623</v>
      </c>
      <c r="O447" s="290" t="s">
        <v>4623</v>
      </c>
      <c r="P447" s="290" t="s">
        <v>999</v>
      </c>
      <c r="Q447" s="291" t="s">
        <v>4623</v>
      </c>
      <c r="R447" s="276"/>
      <c r="S447" s="277">
        <f>IF(OR(C447="",C447=T$4),NA(),MATCH($B447&amp;$C447,'Smelter Reference List'!$J:$J,0))</f>
        <v>222</v>
      </c>
      <c r="T447" s="278"/>
      <c r="U447" s="278"/>
      <c r="V447" s="278"/>
      <c r="W447" s="278"/>
    </row>
    <row r="448" spans="1:23" s="269" customFormat="1" ht="20.25">
      <c r="A448" s="267"/>
      <c r="B448" s="275" t="s">
        <v>2436</v>
      </c>
      <c r="C448" s="275" t="s">
        <v>3831</v>
      </c>
      <c r="D448" s="168" t="s">
        <v>5384</v>
      </c>
      <c r="E448" s="168" t="s">
        <v>2294</v>
      </c>
      <c r="F448" s="168" t="s">
        <v>4623</v>
      </c>
      <c r="G448" s="168" t="s">
        <v>4623</v>
      </c>
      <c r="H448" s="292" t="s">
        <v>3473</v>
      </c>
      <c r="I448" s="293" t="s">
        <v>4821</v>
      </c>
      <c r="J448" s="293" t="s">
        <v>5385</v>
      </c>
      <c r="K448" s="290" t="s">
        <v>5386</v>
      </c>
      <c r="L448" s="290" t="s">
        <v>4623</v>
      </c>
      <c r="M448" s="290" t="s">
        <v>4623</v>
      </c>
      <c r="N448" s="290" t="s">
        <v>4623</v>
      </c>
      <c r="O448" s="290" t="s">
        <v>4623</v>
      </c>
      <c r="P448" s="290" t="s">
        <v>999</v>
      </c>
      <c r="Q448" s="291" t="s">
        <v>4623</v>
      </c>
      <c r="R448" s="276"/>
      <c r="S448" s="277">
        <f>IF(OR(C448="",C448=T$4),NA(),MATCH($B448&amp;$C448,'Smelter Reference List'!$J:$J,0))</f>
        <v>222</v>
      </c>
      <c r="T448" s="278"/>
      <c r="U448" s="278"/>
      <c r="V448" s="278"/>
      <c r="W448" s="278"/>
    </row>
    <row r="449" spans="1:23" s="269" customFormat="1" ht="20.25">
      <c r="A449" s="267"/>
      <c r="B449" s="275" t="s">
        <v>2436</v>
      </c>
      <c r="C449" s="275" t="s">
        <v>3831</v>
      </c>
      <c r="D449" s="168" t="s">
        <v>5387</v>
      </c>
      <c r="E449" s="168" t="s">
        <v>2294</v>
      </c>
      <c r="F449" s="168" t="s">
        <v>4623</v>
      </c>
      <c r="G449" s="168" t="s">
        <v>4623</v>
      </c>
      <c r="H449" s="292" t="s">
        <v>4623</v>
      </c>
      <c r="I449" s="293" t="s">
        <v>4623</v>
      </c>
      <c r="J449" s="293" t="s">
        <v>4623</v>
      </c>
      <c r="K449" s="290" t="s">
        <v>4623</v>
      </c>
      <c r="L449" s="290" t="s">
        <v>4623</v>
      </c>
      <c r="M449" s="290" t="s">
        <v>4623</v>
      </c>
      <c r="N449" s="290" t="s">
        <v>4623</v>
      </c>
      <c r="O449" s="290" t="s">
        <v>4623</v>
      </c>
      <c r="P449" s="290" t="s">
        <v>999</v>
      </c>
      <c r="Q449" s="291" t="s">
        <v>4623</v>
      </c>
      <c r="R449" s="276"/>
      <c r="S449" s="277">
        <f>IF(OR(C449="",C449=T$4),NA(),MATCH($B449&amp;$C449,'Smelter Reference List'!$J:$J,0))</f>
        <v>222</v>
      </c>
      <c r="T449" s="278"/>
      <c r="U449" s="278"/>
      <c r="V449" s="278"/>
      <c r="W449" s="278"/>
    </row>
    <row r="450" spans="1:23" s="269" customFormat="1" ht="20.25">
      <c r="A450" s="267"/>
      <c r="B450" s="275" t="s">
        <v>2436</v>
      </c>
      <c r="C450" s="275" t="s">
        <v>3831</v>
      </c>
      <c r="D450" s="168" t="s">
        <v>3499</v>
      </c>
      <c r="E450" s="168" t="s">
        <v>2294</v>
      </c>
      <c r="F450" s="168" t="s">
        <v>4623</v>
      </c>
      <c r="G450" s="168" t="s">
        <v>4623</v>
      </c>
      <c r="H450" s="292" t="s">
        <v>3389</v>
      </c>
      <c r="I450" s="293" t="s">
        <v>3474</v>
      </c>
      <c r="J450" s="293" t="s">
        <v>5388</v>
      </c>
      <c r="K450" s="290" t="s">
        <v>5389</v>
      </c>
      <c r="L450" s="290" t="s">
        <v>4623</v>
      </c>
      <c r="M450" s="290" t="s">
        <v>4623</v>
      </c>
      <c r="N450" s="290" t="s">
        <v>4623</v>
      </c>
      <c r="O450" s="290" t="s">
        <v>4623</v>
      </c>
      <c r="P450" s="290" t="s">
        <v>999</v>
      </c>
      <c r="Q450" s="291" t="s">
        <v>4623</v>
      </c>
      <c r="R450" s="276"/>
      <c r="S450" s="277">
        <f>IF(OR(C450="",C450=T$4),NA(),MATCH($B450&amp;$C450,'Smelter Reference List'!$J:$J,0))</f>
        <v>222</v>
      </c>
      <c r="T450" s="278"/>
      <c r="U450" s="278"/>
      <c r="V450" s="278"/>
      <c r="W450" s="278"/>
    </row>
    <row r="451" spans="1:23" s="269" customFormat="1" ht="20.25">
      <c r="A451" s="267"/>
      <c r="B451" s="275" t="s">
        <v>2436</v>
      </c>
      <c r="C451" s="275" t="s">
        <v>3831</v>
      </c>
      <c r="D451" s="168" t="s">
        <v>5390</v>
      </c>
      <c r="E451" s="168" t="s">
        <v>2294</v>
      </c>
      <c r="F451" s="168" t="s">
        <v>4623</v>
      </c>
      <c r="G451" s="168" t="s">
        <v>4623</v>
      </c>
      <c r="H451" s="292" t="s">
        <v>5391</v>
      </c>
      <c r="I451" s="293" t="s">
        <v>3389</v>
      </c>
      <c r="J451" s="293" t="s">
        <v>3474</v>
      </c>
      <c r="K451" s="290" t="s">
        <v>5392</v>
      </c>
      <c r="L451" s="290" t="s">
        <v>5393</v>
      </c>
      <c r="M451" s="290" t="s">
        <v>4769</v>
      </c>
      <c r="N451" s="290" t="s">
        <v>3474</v>
      </c>
      <c r="O451" s="290" t="s">
        <v>4667</v>
      </c>
      <c r="P451" s="290" t="s">
        <v>999</v>
      </c>
      <c r="Q451" s="291" t="s">
        <v>4623</v>
      </c>
      <c r="R451" s="276"/>
      <c r="S451" s="277">
        <f>IF(OR(C451="",C451=T$4),NA(),MATCH($B451&amp;$C451,'Smelter Reference List'!$J:$J,0))</f>
        <v>222</v>
      </c>
      <c r="T451" s="278"/>
      <c r="U451" s="278"/>
      <c r="V451" s="278"/>
      <c r="W451" s="278"/>
    </row>
    <row r="452" spans="1:23" s="269" customFormat="1" ht="20.25">
      <c r="A452" s="267"/>
      <c r="B452" s="275" t="s">
        <v>2436</v>
      </c>
      <c r="C452" s="275" t="s">
        <v>3831</v>
      </c>
      <c r="D452" s="168" t="s">
        <v>5394</v>
      </c>
      <c r="E452" s="168" t="s">
        <v>2294</v>
      </c>
      <c r="F452" s="168" t="s">
        <v>4623</v>
      </c>
      <c r="G452" s="168" t="s">
        <v>4623</v>
      </c>
      <c r="H452" s="292" t="s">
        <v>4623</v>
      </c>
      <c r="I452" s="293" t="s">
        <v>4623</v>
      </c>
      <c r="J452" s="293" t="s">
        <v>4623</v>
      </c>
      <c r="K452" s="290" t="s">
        <v>4623</v>
      </c>
      <c r="L452" s="290" t="s">
        <v>4623</v>
      </c>
      <c r="M452" s="290" t="s">
        <v>4623</v>
      </c>
      <c r="N452" s="290" t="s">
        <v>4623</v>
      </c>
      <c r="O452" s="290" t="s">
        <v>4623</v>
      </c>
      <c r="P452" s="290" t="s">
        <v>999</v>
      </c>
      <c r="Q452" s="291" t="s">
        <v>4623</v>
      </c>
      <c r="R452" s="276"/>
      <c r="S452" s="277">
        <f>IF(OR(C452="",C452=T$4),NA(),MATCH($B452&amp;$C452,'Smelter Reference List'!$J:$J,0))</f>
        <v>222</v>
      </c>
      <c r="T452" s="278"/>
      <c r="U452" s="278"/>
      <c r="V452" s="278"/>
      <c r="W452" s="278"/>
    </row>
    <row r="453" spans="1:23" s="269" customFormat="1" ht="20.25">
      <c r="A453" s="267"/>
      <c r="B453" s="275" t="s">
        <v>2436</v>
      </c>
      <c r="C453" s="275" t="s">
        <v>3831</v>
      </c>
      <c r="D453" s="168" t="s">
        <v>5395</v>
      </c>
      <c r="E453" s="168" t="s">
        <v>2294</v>
      </c>
      <c r="F453" s="168" t="s">
        <v>4623</v>
      </c>
      <c r="G453" s="168" t="s">
        <v>4623</v>
      </c>
      <c r="H453" s="292" t="s">
        <v>4623</v>
      </c>
      <c r="I453" s="293" t="s">
        <v>4623</v>
      </c>
      <c r="J453" s="293" t="s">
        <v>4623</v>
      </c>
      <c r="K453" s="290" t="s">
        <v>4623</v>
      </c>
      <c r="L453" s="290" t="s">
        <v>4623</v>
      </c>
      <c r="M453" s="290" t="s">
        <v>4623</v>
      </c>
      <c r="N453" s="290" t="s">
        <v>4623</v>
      </c>
      <c r="O453" s="290" t="s">
        <v>4623</v>
      </c>
      <c r="P453" s="290" t="s">
        <v>999</v>
      </c>
      <c r="Q453" s="291" t="s">
        <v>4623</v>
      </c>
      <c r="R453" s="276"/>
      <c r="S453" s="277">
        <f>IF(OR(C453="",C453=T$4),NA(),MATCH($B453&amp;$C453,'Smelter Reference List'!$J:$J,0))</f>
        <v>222</v>
      </c>
      <c r="T453" s="278"/>
      <c r="U453" s="278"/>
      <c r="V453" s="278"/>
      <c r="W453" s="278"/>
    </row>
    <row r="454" spans="1:23" s="269" customFormat="1" ht="20.25">
      <c r="A454" s="267"/>
      <c r="B454" s="275" t="s">
        <v>2436</v>
      </c>
      <c r="C454" s="275" t="s">
        <v>3831</v>
      </c>
      <c r="D454" s="168" t="s">
        <v>5396</v>
      </c>
      <c r="E454" s="168" t="s">
        <v>2294</v>
      </c>
      <c r="F454" s="168" t="s">
        <v>4623</v>
      </c>
      <c r="G454" s="168" t="s">
        <v>4623</v>
      </c>
      <c r="H454" s="292" t="s">
        <v>4623</v>
      </c>
      <c r="I454" s="293" t="s">
        <v>4623</v>
      </c>
      <c r="J454" s="293" t="s">
        <v>4623</v>
      </c>
      <c r="K454" s="290" t="s">
        <v>4623</v>
      </c>
      <c r="L454" s="290" t="s">
        <v>4623</v>
      </c>
      <c r="M454" s="290" t="s">
        <v>4623</v>
      </c>
      <c r="N454" s="290" t="s">
        <v>4623</v>
      </c>
      <c r="O454" s="290" t="s">
        <v>4623</v>
      </c>
      <c r="P454" s="290" t="s">
        <v>999</v>
      </c>
      <c r="Q454" s="291" t="s">
        <v>4623</v>
      </c>
      <c r="R454" s="276"/>
      <c r="S454" s="277">
        <f>IF(OR(C454="",C454=T$4),NA(),MATCH($B454&amp;$C454,'Smelter Reference List'!$J:$J,0))</f>
        <v>222</v>
      </c>
      <c r="T454" s="278"/>
      <c r="U454" s="278"/>
      <c r="V454" s="278"/>
      <c r="W454" s="278"/>
    </row>
    <row r="455" spans="1:23" s="269" customFormat="1" ht="20.25">
      <c r="A455" s="267"/>
      <c r="B455" s="275" t="s">
        <v>2436</v>
      </c>
      <c r="C455" s="275" t="s">
        <v>3831</v>
      </c>
      <c r="D455" s="168" t="s">
        <v>5397</v>
      </c>
      <c r="E455" s="168" t="s">
        <v>2294</v>
      </c>
      <c r="F455" s="168" t="s">
        <v>4623</v>
      </c>
      <c r="G455" s="168" t="s">
        <v>4623</v>
      </c>
      <c r="H455" s="292" t="s">
        <v>3389</v>
      </c>
      <c r="I455" s="293" t="s">
        <v>4926</v>
      </c>
      <c r="J455" s="293" t="s">
        <v>5000</v>
      </c>
      <c r="K455" s="290" t="s">
        <v>5000</v>
      </c>
      <c r="L455" s="290" t="s">
        <v>5000</v>
      </c>
      <c r="M455" s="290" t="s">
        <v>5000</v>
      </c>
      <c r="N455" s="290" t="s">
        <v>5000</v>
      </c>
      <c r="O455" s="290" t="s">
        <v>5398</v>
      </c>
      <c r="P455" s="290" t="s">
        <v>999</v>
      </c>
      <c r="Q455" s="291" t="s">
        <v>4623</v>
      </c>
      <c r="R455" s="276"/>
      <c r="S455" s="277">
        <f>IF(OR(C455="",C455=T$4),NA(),MATCH($B455&amp;$C455,'Smelter Reference List'!$J:$J,0))</f>
        <v>222</v>
      </c>
      <c r="T455" s="278"/>
      <c r="U455" s="278"/>
      <c r="V455" s="278"/>
      <c r="W455" s="278"/>
    </row>
    <row r="456" spans="1:23" s="269" customFormat="1" ht="20.25">
      <c r="A456" s="267"/>
      <c r="B456" s="275" t="s">
        <v>2436</v>
      </c>
      <c r="C456" s="275" t="s">
        <v>3831</v>
      </c>
      <c r="D456" s="168" t="s">
        <v>5399</v>
      </c>
      <c r="E456" s="168" t="s">
        <v>2294</v>
      </c>
      <c r="F456" s="168" t="s">
        <v>4623</v>
      </c>
      <c r="G456" s="168" t="s">
        <v>4623</v>
      </c>
      <c r="H456" s="292" t="s">
        <v>4623</v>
      </c>
      <c r="I456" s="293" t="s">
        <v>4623</v>
      </c>
      <c r="J456" s="293" t="s">
        <v>4623</v>
      </c>
      <c r="K456" s="290" t="s">
        <v>4623</v>
      </c>
      <c r="L456" s="290" t="s">
        <v>4623</v>
      </c>
      <c r="M456" s="290" t="s">
        <v>4623</v>
      </c>
      <c r="N456" s="290" t="s">
        <v>4623</v>
      </c>
      <c r="O456" s="290" t="s">
        <v>4623</v>
      </c>
      <c r="P456" s="290" t="s">
        <v>999</v>
      </c>
      <c r="Q456" s="291" t="s">
        <v>4623</v>
      </c>
      <c r="R456" s="276"/>
      <c r="S456" s="277">
        <f>IF(OR(C456="",C456=T$4),NA(),MATCH($B456&amp;$C456,'Smelter Reference List'!$J:$J,0))</f>
        <v>222</v>
      </c>
      <c r="T456" s="278"/>
      <c r="U456" s="278"/>
      <c r="V456" s="278"/>
      <c r="W456" s="278"/>
    </row>
    <row r="457" spans="1:23" s="269" customFormat="1" ht="20.25">
      <c r="A457" s="267"/>
      <c r="B457" s="275" t="s">
        <v>2436</v>
      </c>
      <c r="C457" s="275" t="s">
        <v>3831</v>
      </c>
      <c r="D457" s="168" t="s">
        <v>5400</v>
      </c>
      <c r="E457" s="168" t="s">
        <v>2294</v>
      </c>
      <c r="F457" s="168" t="s">
        <v>4623</v>
      </c>
      <c r="G457" s="168" t="s">
        <v>4623</v>
      </c>
      <c r="H457" s="292" t="s">
        <v>4623</v>
      </c>
      <c r="I457" s="293" t="s">
        <v>4623</v>
      </c>
      <c r="J457" s="293" t="s">
        <v>4623</v>
      </c>
      <c r="K457" s="290" t="s">
        <v>4623</v>
      </c>
      <c r="L457" s="290" t="s">
        <v>4623</v>
      </c>
      <c r="M457" s="290" t="s">
        <v>4623</v>
      </c>
      <c r="N457" s="290" t="s">
        <v>4623</v>
      </c>
      <c r="O457" s="290" t="s">
        <v>4623</v>
      </c>
      <c r="P457" s="290" t="s">
        <v>999</v>
      </c>
      <c r="Q457" s="291" t="s">
        <v>4623</v>
      </c>
      <c r="R457" s="276"/>
      <c r="S457" s="277">
        <f>IF(OR(C457="",C457=T$4),NA(),MATCH($B457&amp;$C457,'Smelter Reference List'!$J:$J,0))</f>
        <v>222</v>
      </c>
      <c r="T457" s="278"/>
      <c r="U457" s="278"/>
      <c r="V457" s="278"/>
      <c r="W457" s="278"/>
    </row>
    <row r="458" spans="1:23" s="269" customFormat="1" ht="20.25">
      <c r="A458" s="267"/>
      <c r="B458" s="275" t="s">
        <v>2436</v>
      </c>
      <c r="C458" s="275" t="s">
        <v>3831</v>
      </c>
      <c r="D458" s="168" t="s">
        <v>5401</v>
      </c>
      <c r="E458" s="168" t="s">
        <v>2294</v>
      </c>
      <c r="F458" s="168" t="s">
        <v>4623</v>
      </c>
      <c r="G458" s="168" t="s">
        <v>4623</v>
      </c>
      <c r="H458" s="292" t="s">
        <v>4623</v>
      </c>
      <c r="I458" s="293" t="s">
        <v>4623</v>
      </c>
      <c r="J458" s="293" t="s">
        <v>4623</v>
      </c>
      <c r="K458" s="290" t="s">
        <v>4623</v>
      </c>
      <c r="L458" s="290" t="s">
        <v>4623</v>
      </c>
      <c r="M458" s="290" t="s">
        <v>4623</v>
      </c>
      <c r="N458" s="290" t="s">
        <v>4623</v>
      </c>
      <c r="O458" s="290" t="s">
        <v>4623</v>
      </c>
      <c r="P458" s="290" t="s">
        <v>999</v>
      </c>
      <c r="Q458" s="291" t="s">
        <v>4623</v>
      </c>
      <c r="R458" s="276"/>
      <c r="S458" s="277">
        <f>IF(OR(C458="",C458=T$4),NA(),MATCH($B458&amp;$C458,'Smelter Reference List'!$J:$J,0))</f>
        <v>222</v>
      </c>
      <c r="T458" s="278"/>
      <c r="U458" s="278"/>
      <c r="V458" s="278"/>
      <c r="W458" s="278"/>
    </row>
    <row r="459" spans="1:23" s="269" customFormat="1" ht="20.25">
      <c r="A459" s="267"/>
      <c r="B459" s="275" t="s">
        <v>2436</v>
      </c>
      <c r="C459" s="275" t="s">
        <v>3831</v>
      </c>
      <c r="D459" s="168" t="s">
        <v>5402</v>
      </c>
      <c r="E459" s="168" t="s">
        <v>2294</v>
      </c>
      <c r="F459" s="168" t="s">
        <v>4623</v>
      </c>
      <c r="G459" s="168" t="s">
        <v>4623</v>
      </c>
      <c r="H459" s="292" t="s">
        <v>3474</v>
      </c>
      <c r="I459" s="293" t="s">
        <v>3474</v>
      </c>
      <c r="J459" s="293" t="s">
        <v>4623</v>
      </c>
      <c r="K459" s="290" t="s">
        <v>4623</v>
      </c>
      <c r="L459" s="290" t="s">
        <v>4731</v>
      </c>
      <c r="M459" s="290" t="s">
        <v>4623</v>
      </c>
      <c r="N459" s="290" t="s">
        <v>4623</v>
      </c>
      <c r="O459" s="290" t="s">
        <v>4623</v>
      </c>
      <c r="P459" s="290" t="s">
        <v>999</v>
      </c>
      <c r="Q459" s="291" t="s">
        <v>4623</v>
      </c>
      <c r="R459" s="276"/>
      <c r="S459" s="277">
        <f>IF(OR(C459="",C459=T$4),NA(),MATCH($B459&amp;$C459,'Smelter Reference List'!$J:$J,0))</f>
        <v>222</v>
      </c>
      <c r="T459" s="278"/>
      <c r="U459" s="278"/>
      <c r="V459" s="278"/>
      <c r="W459" s="278"/>
    </row>
    <row r="460" spans="1:23" s="269" customFormat="1" ht="20.25">
      <c r="A460" s="267"/>
      <c r="B460" s="275" t="s">
        <v>2436</v>
      </c>
      <c r="C460" s="275" t="s">
        <v>3831</v>
      </c>
      <c r="D460" s="168" t="s">
        <v>5403</v>
      </c>
      <c r="E460" s="168" t="s">
        <v>2294</v>
      </c>
      <c r="F460" s="168" t="s">
        <v>4623</v>
      </c>
      <c r="G460" s="168" t="s">
        <v>4623</v>
      </c>
      <c r="H460" s="292" t="s">
        <v>4623</v>
      </c>
      <c r="I460" s="293" t="s">
        <v>4623</v>
      </c>
      <c r="J460" s="293" t="s">
        <v>4623</v>
      </c>
      <c r="K460" s="290" t="s">
        <v>4623</v>
      </c>
      <c r="L460" s="290" t="s">
        <v>4623</v>
      </c>
      <c r="M460" s="290" t="s">
        <v>4623</v>
      </c>
      <c r="N460" s="290" t="s">
        <v>4623</v>
      </c>
      <c r="O460" s="290" t="s">
        <v>4623</v>
      </c>
      <c r="P460" s="290" t="s">
        <v>999</v>
      </c>
      <c r="Q460" s="291" t="s">
        <v>4623</v>
      </c>
      <c r="R460" s="276"/>
      <c r="S460" s="277">
        <f>IF(OR(C460="",C460=T$4),NA(),MATCH($B460&amp;$C460,'Smelter Reference List'!$J:$J,0))</f>
        <v>222</v>
      </c>
      <c r="T460" s="278"/>
      <c r="U460" s="278"/>
      <c r="V460" s="278"/>
      <c r="W460" s="278"/>
    </row>
    <row r="461" spans="1:23" s="269" customFormat="1" ht="20.25">
      <c r="A461" s="267"/>
      <c r="B461" s="275" t="s">
        <v>2436</v>
      </c>
      <c r="C461" s="275" t="s">
        <v>3831</v>
      </c>
      <c r="D461" s="168" t="s">
        <v>5404</v>
      </c>
      <c r="E461" s="168" t="s">
        <v>2294</v>
      </c>
      <c r="F461" s="168" t="s">
        <v>4623</v>
      </c>
      <c r="G461" s="168" t="s">
        <v>4623</v>
      </c>
      <c r="H461" s="292" t="s">
        <v>5405</v>
      </c>
      <c r="I461" s="293" t="s">
        <v>3545</v>
      </c>
      <c r="J461" s="293" t="s">
        <v>4623</v>
      </c>
      <c r="K461" s="290" t="s">
        <v>4623</v>
      </c>
      <c r="L461" s="290" t="s">
        <v>4623</v>
      </c>
      <c r="M461" s="290" t="s">
        <v>4623</v>
      </c>
      <c r="N461" s="290" t="s">
        <v>4667</v>
      </c>
      <c r="O461" s="290" t="s">
        <v>4623</v>
      </c>
      <c r="P461" s="290" t="s">
        <v>999</v>
      </c>
      <c r="Q461" s="291" t="s">
        <v>4623</v>
      </c>
      <c r="R461" s="276"/>
      <c r="S461" s="277">
        <f>IF(OR(C461="",C461=T$4),NA(),MATCH($B461&amp;$C461,'Smelter Reference List'!$J:$J,0))</f>
        <v>222</v>
      </c>
      <c r="T461" s="278"/>
      <c r="U461" s="278"/>
      <c r="V461" s="278"/>
      <c r="W461" s="278"/>
    </row>
    <row r="462" spans="1:23" s="269" customFormat="1" ht="20.25">
      <c r="A462" s="267"/>
      <c r="B462" s="275" t="s">
        <v>2436</v>
      </c>
      <c r="C462" s="275" t="s">
        <v>3831</v>
      </c>
      <c r="D462" s="168" t="s">
        <v>5406</v>
      </c>
      <c r="E462" s="168" t="s">
        <v>2294</v>
      </c>
      <c r="F462" s="168" t="s">
        <v>4623</v>
      </c>
      <c r="G462" s="168" t="s">
        <v>4623</v>
      </c>
      <c r="H462" s="292" t="s">
        <v>4623</v>
      </c>
      <c r="I462" s="293" t="s">
        <v>4623</v>
      </c>
      <c r="J462" s="293" t="s">
        <v>4623</v>
      </c>
      <c r="K462" s="290" t="s">
        <v>4623</v>
      </c>
      <c r="L462" s="290" t="s">
        <v>4623</v>
      </c>
      <c r="M462" s="290" t="s">
        <v>4623</v>
      </c>
      <c r="N462" s="290" t="s">
        <v>4623</v>
      </c>
      <c r="O462" s="290" t="s">
        <v>4623</v>
      </c>
      <c r="P462" s="290" t="s">
        <v>999</v>
      </c>
      <c r="Q462" s="291" t="s">
        <v>4623</v>
      </c>
      <c r="R462" s="276"/>
      <c r="S462" s="277">
        <f>IF(OR(C462="",C462=T$4),NA(),MATCH($B462&amp;$C462,'Smelter Reference List'!$J:$J,0))</f>
        <v>222</v>
      </c>
      <c r="T462" s="278"/>
      <c r="U462" s="278"/>
      <c r="V462" s="278"/>
      <c r="W462" s="278"/>
    </row>
    <row r="463" spans="1:23" s="269" customFormat="1" ht="20.25">
      <c r="A463" s="267"/>
      <c r="B463" s="275" t="s">
        <v>2436</v>
      </c>
      <c r="C463" s="275" t="s">
        <v>3831</v>
      </c>
      <c r="D463" s="168" t="s">
        <v>5407</v>
      </c>
      <c r="E463" s="168" t="s">
        <v>2294</v>
      </c>
      <c r="F463" s="168" t="s">
        <v>4623</v>
      </c>
      <c r="G463" s="168" t="s">
        <v>4623</v>
      </c>
      <c r="H463" s="292" t="s">
        <v>4623</v>
      </c>
      <c r="I463" s="293" t="s">
        <v>4623</v>
      </c>
      <c r="J463" s="293" t="s">
        <v>4623</v>
      </c>
      <c r="K463" s="290" t="s">
        <v>4623</v>
      </c>
      <c r="L463" s="290" t="s">
        <v>4623</v>
      </c>
      <c r="M463" s="290" t="s">
        <v>4623</v>
      </c>
      <c r="N463" s="290" t="s">
        <v>4623</v>
      </c>
      <c r="O463" s="290" t="s">
        <v>4623</v>
      </c>
      <c r="P463" s="290" t="s">
        <v>999</v>
      </c>
      <c r="Q463" s="291" t="s">
        <v>4623</v>
      </c>
      <c r="R463" s="276"/>
      <c r="S463" s="277">
        <f>IF(OR(C463="",C463=T$4),NA(),MATCH($B463&amp;$C463,'Smelter Reference List'!$J:$J,0))</f>
        <v>222</v>
      </c>
      <c r="T463" s="278"/>
      <c r="U463" s="278"/>
      <c r="V463" s="278"/>
      <c r="W463" s="278"/>
    </row>
    <row r="464" spans="1:23" s="269" customFormat="1" ht="20.25">
      <c r="A464" s="267"/>
      <c r="B464" s="275" t="s">
        <v>2436</v>
      </c>
      <c r="C464" s="275" t="s">
        <v>3831</v>
      </c>
      <c r="D464" s="168" t="s">
        <v>5408</v>
      </c>
      <c r="E464" s="168" t="s">
        <v>2294</v>
      </c>
      <c r="F464" s="168" t="s">
        <v>4623</v>
      </c>
      <c r="G464" s="168" t="s">
        <v>4623</v>
      </c>
      <c r="H464" s="292" t="s">
        <v>5409</v>
      </c>
      <c r="I464" s="293" t="s">
        <v>3607</v>
      </c>
      <c r="J464" s="293" t="s">
        <v>5410</v>
      </c>
      <c r="K464" s="290" t="s">
        <v>4623</v>
      </c>
      <c r="L464" s="290" t="s">
        <v>5411</v>
      </c>
      <c r="M464" s="290" t="s">
        <v>4769</v>
      </c>
      <c r="N464" s="290" t="s">
        <v>5412</v>
      </c>
      <c r="O464" s="290" t="s">
        <v>4667</v>
      </c>
      <c r="P464" s="290" t="s">
        <v>999</v>
      </c>
      <c r="Q464" s="291" t="s">
        <v>4623</v>
      </c>
      <c r="R464" s="276"/>
      <c r="S464" s="277">
        <f>IF(OR(C464="",C464=T$4),NA(),MATCH($B464&amp;$C464,'Smelter Reference List'!$J:$J,0))</f>
        <v>222</v>
      </c>
      <c r="T464" s="278"/>
      <c r="U464" s="278"/>
      <c r="V464" s="278"/>
      <c r="W464" s="278"/>
    </row>
    <row r="465" spans="1:23" s="269" customFormat="1" ht="20.25">
      <c r="A465" s="267"/>
      <c r="B465" s="275" t="s">
        <v>2436</v>
      </c>
      <c r="C465" s="275" t="s">
        <v>3831</v>
      </c>
      <c r="D465" s="168" t="s">
        <v>5413</v>
      </c>
      <c r="E465" s="168" t="s">
        <v>2294</v>
      </c>
      <c r="F465" s="168" t="s">
        <v>4623</v>
      </c>
      <c r="G465" s="168" t="s">
        <v>4623</v>
      </c>
      <c r="H465" s="292" t="s">
        <v>4623</v>
      </c>
      <c r="I465" s="293" t="s">
        <v>4623</v>
      </c>
      <c r="J465" s="293" t="s">
        <v>4623</v>
      </c>
      <c r="K465" s="290" t="s">
        <v>4623</v>
      </c>
      <c r="L465" s="290" t="s">
        <v>4623</v>
      </c>
      <c r="M465" s="290" t="s">
        <v>4623</v>
      </c>
      <c r="N465" s="290" t="s">
        <v>4623</v>
      </c>
      <c r="O465" s="290" t="s">
        <v>4623</v>
      </c>
      <c r="P465" s="290" t="s">
        <v>999</v>
      </c>
      <c r="Q465" s="291" t="s">
        <v>4623</v>
      </c>
      <c r="R465" s="276"/>
      <c r="S465" s="277">
        <f>IF(OR(C465="",C465=T$4),NA(),MATCH($B465&amp;$C465,'Smelter Reference List'!$J:$J,0))</f>
        <v>222</v>
      </c>
      <c r="T465" s="278"/>
      <c r="U465" s="278"/>
      <c r="V465" s="278"/>
      <c r="W465" s="278"/>
    </row>
    <row r="466" spans="1:23" s="269" customFormat="1" ht="20.25">
      <c r="A466" s="267"/>
      <c r="B466" s="275" t="s">
        <v>2436</v>
      </c>
      <c r="C466" s="275" t="s">
        <v>3831</v>
      </c>
      <c r="D466" s="168" t="s">
        <v>5414</v>
      </c>
      <c r="E466" s="168" t="s">
        <v>2294</v>
      </c>
      <c r="F466" s="168" t="s">
        <v>4623</v>
      </c>
      <c r="G466" s="168" t="s">
        <v>4623</v>
      </c>
      <c r="H466" s="292" t="s">
        <v>4623</v>
      </c>
      <c r="I466" s="293" t="s">
        <v>4623</v>
      </c>
      <c r="J466" s="293" t="s">
        <v>4623</v>
      </c>
      <c r="K466" s="290" t="s">
        <v>4623</v>
      </c>
      <c r="L466" s="290" t="s">
        <v>4623</v>
      </c>
      <c r="M466" s="290" t="s">
        <v>4623</v>
      </c>
      <c r="N466" s="290" t="s">
        <v>4623</v>
      </c>
      <c r="O466" s="290" t="s">
        <v>4623</v>
      </c>
      <c r="P466" s="290" t="s">
        <v>999</v>
      </c>
      <c r="Q466" s="291" t="s">
        <v>4623</v>
      </c>
      <c r="R466" s="276"/>
      <c r="S466" s="277">
        <f>IF(OR(C466="",C466=T$4),NA(),MATCH($B466&amp;$C466,'Smelter Reference List'!$J:$J,0))</f>
        <v>222</v>
      </c>
      <c r="T466" s="278"/>
      <c r="U466" s="278"/>
      <c r="V466" s="278"/>
      <c r="W466" s="278"/>
    </row>
    <row r="467" spans="1:23" s="269" customFormat="1" ht="20.25">
      <c r="A467" s="267"/>
      <c r="B467" s="275" t="s">
        <v>2436</v>
      </c>
      <c r="C467" s="275" t="s">
        <v>3831</v>
      </c>
      <c r="D467" s="168" t="s">
        <v>63</v>
      </c>
      <c r="E467" s="168" t="s">
        <v>2294</v>
      </c>
      <c r="F467" s="168" t="s">
        <v>4623</v>
      </c>
      <c r="G467" s="168" t="s">
        <v>4623</v>
      </c>
      <c r="H467" s="292" t="s">
        <v>4623</v>
      </c>
      <c r="I467" s="293" t="s">
        <v>4623</v>
      </c>
      <c r="J467" s="293" t="s">
        <v>4623</v>
      </c>
      <c r="K467" s="290" t="s">
        <v>4623</v>
      </c>
      <c r="L467" s="290" t="s">
        <v>4623</v>
      </c>
      <c r="M467" s="290" t="s">
        <v>4623</v>
      </c>
      <c r="N467" s="290" t="s">
        <v>4623</v>
      </c>
      <c r="O467" s="290" t="s">
        <v>4623</v>
      </c>
      <c r="P467" s="290" t="s">
        <v>999</v>
      </c>
      <c r="Q467" s="291" t="s">
        <v>4623</v>
      </c>
      <c r="R467" s="276"/>
      <c r="S467" s="277">
        <f>IF(OR(C467="",C467=T$4),NA(),MATCH($B467&amp;$C467,'Smelter Reference List'!$J:$J,0))</f>
        <v>222</v>
      </c>
      <c r="T467" s="278"/>
      <c r="U467" s="278"/>
      <c r="V467" s="278"/>
      <c r="W467" s="278"/>
    </row>
    <row r="468" spans="1:23" s="269" customFormat="1" ht="20.25">
      <c r="A468" s="267"/>
      <c r="B468" s="275" t="s">
        <v>2436</v>
      </c>
      <c r="C468" s="275" t="s">
        <v>3831</v>
      </c>
      <c r="D468" s="168" t="s">
        <v>5415</v>
      </c>
      <c r="E468" s="168" t="s">
        <v>2307</v>
      </c>
      <c r="F468" s="168" t="s">
        <v>4623</v>
      </c>
      <c r="G468" s="168" t="s">
        <v>4623</v>
      </c>
      <c r="H468" s="292" t="s">
        <v>4623</v>
      </c>
      <c r="I468" s="293" t="s">
        <v>4623</v>
      </c>
      <c r="J468" s="293" t="s">
        <v>4623</v>
      </c>
      <c r="K468" s="290" t="s">
        <v>4623</v>
      </c>
      <c r="L468" s="290" t="s">
        <v>4623</v>
      </c>
      <c r="M468" s="290" t="s">
        <v>4623</v>
      </c>
      <c r="N468" s="290" t="s">
        <v>4623</v>
      </c>
      <c r="O468" s="290" t="s">
        <v>4623</v>
      </c>
      <c r="P468" s="290" t="s">
        <v>999</v>
      </c>
      <c r="Q468" s="291" t="s">
        <v>4623</v>
      </c>
      <c r="R468" s="276"/>
      <c r="S468" s="277">
        <f>IF(OR(C468="",C468=T$4),NA(),MATCH($B468&amp;$C468,'Smelter Reference List'!$J:$J,0))</f>
        <v>222</v>
      </c>
      <c r="T468" s="278"/>
      <c r="U468" s="278"/>
      <c r="V468" s="278"/>
      <c r="W468" s="278"/>
    </row>
    <row r="469" spans="1:23" s="269" customFormat="1" ht="20.25">
      <c r="A469" s="267"/>
      <c r="B469" s="275" t="s">
        <v>2436</v>
      </c>
      <c r="C469" s="275" t="s">
        <v>3831</v>
      </c>
      <c r="D469" s="168" t="s">
        <v>5416</v>
      </c>
      <c r="E469" s="168" t="s">
        <v>2320</v>
      </c>
      <c r="F469" s="168" t="s">
        <v>4623</v>
      </c>
      <c r="G469" s="168" t="s">
        <v>4623</v>
      </c>
      <c r="H469" s="292" t="s">
        <v>5417</v>
      </c>
      <c r="I469" s="293" t="s">
        <v>5418</v>
      </c>
      <c r="J469" s="293" t="s">
        <v>5419</v>
      </c>
      <c r="K469" s="290" t="s">
        <v>4623</v>
      </c>
      <c r="L469" s="290" t="s">
        <v>5420</v>
      </c>
      <c r="M469" s="290" t="s">
        <v>5001</v>
      </c>
      <c r="N469" s="290" t="s">
        <v>5421</v>
      </c>
      <c r="O469" s="290" t="s">
        <v>5422</v>
      </c>
      <c r="P469" s="290" t="s">
        <v>999</v>
      </c>
      <c r="Q469" s="291" t="s">
        <v>4623</v>
      </c>
      <c r="R469" s="276"/>
      <c r="S469" s="277">
        <f>IF(OR(C469="",C469=T$4),NA(),MATCH($B469&amp;$C469,'Smelter Reference List'!$J:$J,0))</f>
        <v>222</v>
      </c>
      <c r="T469" s="278"/>
      <c r="U469" s="278"/>
      <c r="V469" s="278"/>
      <c r="W469" s="278"/>
    </row>
    <row r="470" spans="1:23" s="269" customFormat="1" ht="20.25">
      <c r="A470" s="267"/>
      <c r="B470" s="275" t="s">
        <v>2436</v>
      </c>
      <c r="C470" s="275" t="s">
        <v>3831</v>
      </c>
      <c r="D470" s="168" t="s">
        <v>5423</v>
      </c>
      <c r="E470" s="168" t="s">
        <v>2324</v>
      </c>
      <c r="F470" s="168" t="s">
        <v>4623</v>
      </c>
      <c r="G470" s="168" t="s">
        <v>4623</v>
      </c>
      <c r="H470" s="292" t="s">
        <v>4623</v>
      </c>
      <c r="I470" s="293" t="s">
        <v>4623</v>
      </c>
      <c r="J470" s="293" t="s">
        <v>4623</v>
      </c>
      <c r="K470" s="290" t="s">
        <v>4623</v>
      </c>
      <c r="L470" s="290" t="s">
        <v>4623</v>
      </c>
      <c r="M470" s="290" t="s">
        <v>4623</v>
      </c>
      <c r="N470" s="290" t="s">
        <v>4623</v>
      </c>
      <c r="O470" s="290" t="s">
        <v>4623</v>
      </c>
      <c r="P470" s="290" t="s">
        <v>999</v>
      </c>
      <c r="Q470" s="291" t="s">
        <v>4623</v>
      </c>
      <c r="R470" s="276"/>
      <c r="S470" s="277">
        <f>IF(OR(C470="",C470=T$4),NA(),MATCH($B470&amp;$C470,'Smelter Reference List'!$J:$J,0))</f>
        <v>222</v>
      </c>
      <c r="T470" s="278"/>
      <c r="U470" s="278"/>
      <c r="V470" s="278"/>
      <c r="W470" s="278"/>
    </row>
    <row r="471" spans="1:23" s="269" customFormat="1" ht="20.25">
      <c r="A471" s="267"/>
      <c r="B471" s="275" t="s">
        <v>2436</v>
      </c>
      <c r="C471" s="275" t="s">
        <v>3831</v>
      </c>
      <c r="D471" s="168" t="s">
        <v>5424</v>
      </c>
      <c r="E471" s="168" t="s">
        <v>2324</v>
      </c>
      <c r="F471" s="168" t="s">
        <v>4623</v>
      </c>
      <c r="G471" s="168" t="s">
        <v>4623</v>
      </c>
      <c r="H471" s="292" t="s">
        <v>4623</v>
      </c>
      <c r="I471" s="293" t="s">
        <v>4623</v>
      </c>
      <c r="J471" s="293" t="s">
        <v>4623</v>
      </c>
      <c r="K471" s="290" t="s">
        <v>4623</v>
      </c>
      <c r="L471" s="290" t="s">
        <v>4623</v>
      </c>
      <c r="M471" s="290" t="s">
        <v>4623</v>
      </c>
      <c r="N471" s="290" t="s">
        <v>4623</v>
      </c>
      <c r="O471" s="290" t="s">
        <v>4623</v>
      </c>
      <c r="P471" s="290" t="s">
        <v>999</v>
      </c>
      <c r="Q471" s="291" t="s">
        <v>4623</v>
      </c>
      <c r="R471" s="276"/>
      <c r="S471" s="277">
        <f>IF(OR(C471="",C471=T$4),NA(),MATCH($B471&amp;$C471,'Smelter Reference List'!$J:$J,0))</f>
        <v>222</v>
      </c>
      <c r="T471" s="278"/>
      <c r="U471" s="278"/>
      <c r="V471" s="278"/>
      <c r="W471" s="278"/>
    </row>
    <row r="472" spans="1:23" s="269" customFormat="1" ht="20.25">
      <c r="A472" s="267"/>
      <c r="B472" s="275" t="s">
        <v>2436</v>
      </c>
      <c r="C472" s="275" t="s">
        <v>3831</v>
      </c>
      <c r="D472" s="168" t="s">
        <v>5425</v>
      </c>
      <c r="E472" s="168" t="s">
        <v>2324</v>
      </c>
      <c r="F472" s="168" t="s">
        <v>4623</v>
      </c>
      <c r="G472" s="168" t="s">
        <v>4623</v>
      </c>
      <c r="H472" s="292" t="s">
        <v>4623</v>
      </c>
      <c r="I472" s="293" t="s">
        <v>4623</v>
      </c>
      <c r="J472" s="293" t="s">
        <v>4623</v>
      </c>
      <c r="K472" s="290" t="s">
        <v>4623</v>
      </c>
      <c r="L472" s="290" t="s">
        <v>4623</v>
      </c>
      <c r="M472" s="290" t="s">
        <v>4623</v>
      </c>
      <c r="N472" s="290" t="s">
        <v>4623</v>
      </c>
      <c r="O472" s="290" t="s">
        <v>4623</v>
      </c>
      <c r="P472" s="290" t="s">
        <v>999</v>
      </c>
      <c r="Q472" s="291" t="s">
        <v>4623</v>
      </c>
      <c r="R472" s="276"/>
      <c r="S472" s="277">
        <f>IF(OR(C472="",C472=T$4),NA(),MATCH($B472&amp;$C472,'Smelter Reference List'!$J:$J,0))</f>
        <v>222</v>
      </c>
      <c r="T472" s="278"/>
      <c r="U472" s="278"/>
      <c r="V472" s="278"/>
      <c r="W472" s="278"/>
    </row>
    <row r="473" spans="1:23" s="269" customFormat="1" ht="20.25">
      <c r="A473" s="267"/>
      <c r="B473" s="275" t="s">
        <v>2436</v>
      </c>
      <c r="C473" s="275" t="s">
        <v>3831</v>
      </c>
      <c r="D473" s="168" t="s">
        <v>5426</v>
      </c>
      <c r="E473" s="168" t="s">
        <v>2324</v>
      </c>
      <c r="F473" s="168" t="s">
        <v>4623</v>
      </c>
      <c r="G473" s="168" t="s">
        <v>4623</v>
      </c>
      <c r="H473" s="292" t="s">
        <v>4623</v>
      </c>
      <c r="I473" s="293" t="s">
        <v>4623</v>
      </c>
      <c r="J473" s="293" t="s">
        <v>4623</v>
      </c>
      <c r="K473" s="290" t="s">
        <v>4623</v>
      </c>
      <c r="L473" s="290" t="s">
        <v>4623</v>
      </c>
      <c r="M473" s="290" t="s">
        <v>4623</v>
      </c>
      <c r="N473" s="290" t="s">
        <v>4623</v>
      </c>
      <c r="O473" s="290" t="s">
        <v>4623</v>
      </c>
      <c r="P473" s="290" t="s">
        <v>999</v>
      </c>
      <c r="Q473" s="291" t="s">
        <v>4623</v>
      </c>
      <c r="R473" s="276"/>
      <c r="S473" s="277">
        <f>IF(OR(C473="",C473=T$4),NA(),MATCH($B473&amp;$C473,'Smelter Reference List'!$J:$J,0))</f>
        <v>222</v>
      </c>
      <c r="T473" s="278"/>
      <c r="U473" s="278"/>
      <c r="V473" s="278"/>
      <c r="W473" s="278"/>
    </row>
    <row r="474" spans="1:23" s="269" customFormat="1" ht="20.25">
      <c r="A474" s="267"/>
      <c r="B474" s="275" t="s">
        <v>2436</v>
      </c>
      <c r="C474" s="275" t="s">
        <v>3831</v>
      </c>
      <c r="D474" s="168" t="s">
        <v>5427</v>
      </c>
      <c r="E474" s="168" t="s">
        <v>2324</v>
      </c>
      <c r="F474" s="168" t="s">
        <v>4623</v>
      </c>
      <c r="G474" s="168" t="s">
        <v>4623</v>
      </c>
      <c r="H474" s="292" t="s">
        <v>4623</v>
      </c>
      <c r="I474" s="293" t="s">
        <v>4623</v>
      </c>
      <c r="J474" s="293" t="s">
        <v>4623</v>
      </c>
      <c r="K474" s="290" t="s">
        <v>4623</v>
      </c>
      <c r="L474" s="290" t="s">
        <v>4623</v>
      </c>
      <c r="M474" s="290" t="s">
        <v>4623</v>
      </c>
      <c r="N474" s="290" t="s">
        <v>4623</v>
      </c>
      <c r="O474" s="290" t="s">
        <v>4623</v>
      </c>
      <c r="P474" s="290" t="s">
        <v>999</v>
      </c>
      <c r="Q474" s="291" t="s">
        <v>4623</v>
      </c>
      <c r="R474" s="276"/>
      <c r="S474" s="277">
        <f>IF(OR(C474="",C474=T$4),NA(),MATCH($B474&amp;$C474,'Smelter Reference List'!$J:$J,0))</f>
        <v>222</v>
      </c>
      <c r="T474" s="278"/>
      <c r="U474" s="278"/>
      <c r="V474" s="278"/>
      <c r="W474" s="278"/>
    </row>
    <row r="475" spans="1:23" s="269" customFormat="1" ht="20.25">
      <c r="A475" s="267"/>
      <c r="B475" s="275" t="s">
        <v>2436</v>
      </c>
      <c r="C475" s="275" t="s">
        <v>3831</v>
      </c>
      <c r="D475" s="168" t="s">
        <v>5428</v>
      </c>
      <c r="E475" s="168" t="s">
        <v>2308</v>
      </c>
      <c r="F475" s="168" t="s">
        <v>4623</v>
      </c>
      <c r="G475" s="168" t="s">
        <v>4623</v>
      </c>
      <c r="H475" s="292" t="s">
        <v>4623</v>
      </c>
      <c r="I475" s="293" t="s">
        <v>4623</v>
      </c>
      <c r="J475" s="293" t="s">
        <v>4623</v>
      </c>
      <c r="K475" s="290" t="s">
        <v>4623</v>
      </c>
      <c r="L475" s="290" t="s">
        <v>4623</v>
      </c>
      <c r="M475" s="290" t="s">
        <v>4623</v>
      </c>
      <c r="N475" s="290" t="s">
        <v>4623</v>
      </c>
      <c r="O475" s="290" t="s">
        <v>4623</v>
      </c>
      <c r="P475" s="290" t="s">
        <v>999</v>
      </c>
      <c r="Q475" s="291" t="s">
        <v>4623</v>
      </c>
      <c r="R475" s="276"/>
      <c r="S475" s="277">
        <f>IF(OR(C475="",C475=T$4),NA(),MATCH($B475&amp;$C475,'Smelter Reference List'!$J:$J,0))</f>
        <v>222</v>
      </c>
      <c r="T475" s="278"/>
      <c r="U475" s="278"/>
      <c r="V475" s="278"/>
      <c r="W475" s="278"/>
    </row>
    <row r="476" spans="1:23" s="269" customFormat="1" ht="20.25">
      <c r="A476" s="267"/>
      <c r="B476" s="275" t="s">
        <v>2436</v>
      </c>
      <c r="C476" s="275" t="s">
        <v>3831</v>
      </c>
      <c r="D476" s="168" t="s">
        <v>5429</v>
      </c>
      <c r="E476" s="168" t="s">
        <v>2308</v>
      </c>
      <c r="F476" s="168" t="s">
        <v>4623</v>
      </c>
      <c r="G476" s="168" t="s">
        <v>4623</v>
      </c>
      <c r="H476" s="292" t="s">
        <v>4623</v>
      </c>
      <c r="I476" s="293" t="s">
        <v>4623</v>
      </c>
      <c r="J476" s="293" t="s">
        <v>4623</v>
      </c>
      <c r="K476" s="290" t="s">
        <v>4623</v>
      </c>
      <c r="L476" s="290" t="s">
        <v>4623</v>
      </c>
      <c r="M476" s="290" t="s">
        <v>4623</v>
      </c>
      <c r="N476" s="290" t="s">
        <v>4623</v>
      </c>
      <c r="O476" s="290" t="s">
        <v>4623</v>
      </c>
      <c r="P476" s="290" t="s">
        <v>999</v>
      </c>
      <c r="Q476" s="291" t="s">
        <v>4623</v>
      </c>
      <c r="R476" s="276"/>
      <c r="S476" s="277">
        <f>IF(OR(C476="",C476=T$4),NA(),MATCH($B476&amp;$C476,'Smelter Reference List'!$J:$J,0))</f>
        <v>222</v>
      </c>
      <c r="T476" s="278"/>
      <c r="U476" s="278"/>
      <c r="V476" s="278"/>
      <c r="W476" s="278"/>
    </row>
    <row r="477" spans="1:23" s="269" customFormat="1" ht="20.25">
      <c r="A477" s="267"/>
      <c r="B477" s="275" t="s">
        <v>2436</v>
      </c>
      <c r="C477" s="275" t="s">
        <v>3831</v>
      </c>
      <c r="D477" s="168" t="s">
        <v>5430</v>
      </c>
      <c r="E477" s="168" t="s">
        <v>2308</v>
      </c>
      <c r="F477" s="168" t="s">
        <v>4623</v>
      </c>
      <c r="G477" s="168" t="s">
        <v>4623</v>
      </c>
      <c r="H477" s="292" t="s">
        <v>4623</v>
      </c>
      <c r="I477" s="293" t="s">
        <v>4623</v>
      </c>
      <c r="J477" s="293" t="s">
        <v>4623</v>
      </c>
      <c r="K477" s="290" t="s">
        <v>4623</v>
      </c>
      <c r="L477" s="290" t="s">
        <v>4623</v>
      </c>
      <c r="M477" s="290" t="s">
        <v>4623</v>
      </c>
      <c r="N477" s="290" t="s">
        <v>4623</v>
      </c>
      <c r="O477" s="290" t="s">
        <v>4623</v>
      </c>
      <c r="P477" s="290" t="s">
        <v>999</v>
      </c>
      <c r="Q477" s="291" t="s">
        <v>4623</v>
      </c>
      <c r="R477" s="276"/>
      <c r="S477" s="277">
        <f>IF(OR(C477="",C477=T$4),NA(),MATCH($B477&amp;$C477,'Smelter Reference List'!$J:$J,0))</f>
        <v>222</v>
      </c>
      <c r="T477" s="278"/>
      <c r="U477" s="278"/>
      <c r="V477" s="278"/>
      <c r="W477" s="278"/>
    </row>
    <row r="478" spans="1:23" s="269" customFormat="1" ht="20.25">
      <c r="A478" s="267"/>
      <c r="B478" s="275" t="s">
        <v>2436</v>
      </c>
      <c r="C478" s="275" t="s">
        <v>3831</v>
      </c>
      <c r="D478" s="168" t="s">
        <v>5431</v>
      </c>
      <c r="E478" s="168" t="s">
        <v>2308</v>
      </c>
      <c r="F478" s="168" t="s">
        <v>4623</v>
      </c>
      <c r="G478" s="168" t="s">
        <v>4623</v>
      </c>
      <c r="H478" s="292" t="s">
        <v>5432</v>
      </c>
      <c r="I478" s="293" t="s">
        <v>5433</v>
      </c>
      <c r="J478" s="293" t="s">
        <v>4623</v>
      </c>
      <c r="K478" s="290" t="s">
        <v>5434</v>
      </c>
      <c r="L478" s="290" t="s">
        <v>5435</v>
      </c>
      <c r="M478" s="290" t="s">
        <v>4623</v>
      </c>
      <c r="N478" s="290" t="s">
        <v>4623</v>
      </c>
      <c r="O478" s="290" t="s">
        <v>4623</v>
      </c>
      <c r="P478" s="290" t="s">
        <v>999</v>
      </c>
      <c r="Q478" s="291" t="s">
        <v>4623</v>
      </c>
      <c r="R478" s="276"/>
      <c r="S478" s="277">
        <f>IF(OR(C478="",C478=T$4),NA(),MATCH($B478&amp;$C478,'Smelter Reference List'!$J:$J,0))</f>
        <v>222</v>
      </c>
      <c r="T478" s="278"/>
      <c r="U478" s="278"/>
      <c r="V478" s="278"/>
      <c r="W478" s="278"/>
    </row>
    <row r="479" spans="1:23" s="269" customFormat="1" ht="20.25">
      <c r="A479" s="267"/>
      <c r="B479" s="275" t="s">
        <v>2436</v>
      </c>
      <c r="C479" s="275" t="s">
        <v>3831</v>
      </c>
      <c r="D479" s="168" t="s">
        <v>5436</v>
      </c>
      <c r="E479" s="168" t="s">
        <v>2308</v>
      </c>
      <c r="F479" s="168" t="s">
        <v>4623</v>
      </c>
      <c r="G479" s="168" t="s">
        <v>4623</v>
      </c>
      <c r="H479" s="292" t="s">
        <v>4623</v>
      </c>
      <c r="I479" s="293" t="s">
        <v>4623</v>
      </c>
      <c r="J479" s="293" t="s">
        <v>4623</v>
      </c>
      <c r="K479" s="290" t="s">
        <v>4623</v>
      </c>
      <c r="L479" s="290" t="s">
        <v>4623</v>
      </c>
      <c r="M479" s="290" t="s">
        <v>4623</v>
      </c>
      <c r="N479" s="290" t="s">
        <v>4623</v>
      </c>
      <c r="O479" s="290" t="s">
        <v>4623</v>
      </c>
      <c r="P479" s="290" t="s">
        <v>999</v>
      </c>
      <c r="Q479" s="291" t="s">
        <v>4623</v>
      </c>
      <c r="R479" s="276"/>
      <c r="S479" s="277">
        <f>IF(OR(C479="",C479=T$4),NA(),MATCH($B479&amp;$C479,'Smelter Reference List'!$J:$J,0))</f>
        <v>222</v>
      </c>
      <c r="T479" s="278"/>
      <c r="U479" s="278"/>
      <c r="V479" s="278"/>
      <c r="W479" s="278"/>
    </row>
    <row r="480" spans="1:23" s="269" customFormat="1" ht="20.25">
      <c r="A480" s="267"/>
      <c r="B480" s="275" t="s">
        <v>2436</v>
      </c>
      <c r="C480" s="275" t="s">
        <v>3831</v>
      </c>
      <c r="D480" s="168" t="s">
        <v>5437</v>
      </c>
      <c r="E480" s="168" t="s">
        <v>2308</v>
      </c>
      <c r="F480" s="168" t="s">
        <v>4623</v>
      </c>
      <c r="G480" s="168" t="s">
        <v>4623</v>
      </c>
      <c r="H480" s="292" t="s">
        <v>5438</v>
      </c>
      <c r="I480" s="293" t="s">
        <v>3632</v>
      </c>
      <c r="J480" s="293" t="s">
        <v>5439</v>
      </c>
      <c r="K480" s="290" t="s">
        <v>4623</v>
      </c>
      <c r="L480" s="290" t="s">
        <v>5440</v>
      </c>
      <c r="M480" s="290" t="s">
        <v>4623</v>
      </c>
      <c r="N480" s="290" t="s">
        <v>4623</v>
      </c>
      <c r="O480" s="290" t="s">
        <v>4623</v>
      </c>
      <c r="P480" s="290" t="s">
        <v>999</v>
      </c>
      <c r="Q480" s="291" t="s">
        <v>4623</v>
      </c>
      <c r="R480" s="276"/>
      <c r="S480" s="277">
        <f>IF(OR(C480="",C480=T$4),NA(),MATCH($B480&amp;$C480,'Smelter Reference List'!$J:$J,0))</f>
        <v>222</v>
      </c>
      <c r="T480" s="278"/>
      <c r="U480" s="278"/>
      <c r="V480" s="278"/>
      <c r="W480" s="278"/>
    </row>
    <row r="481" spans="1:23" s="269" customFormat="1" ht="20.25">
      <c r="A481" s="267"/>
      <c r="B481" s="275" t="s">
        <v>2436</v>
      </c>
      <c r="C481" s="275" t="s">
        <v>3831</v>
      </c>
      <c r="D481" s="168" t="s">
        <v>5441</v>
      </c>
      <c r="E481" s="168" t="s">
        <v>2308</v>
      </c>
      <c r="F481" s="168" t="s">
        <v>4623</v>
      </c>
      <c r="G481" s="168" t="s">
        <v>4623</v>
      </c>
      <c r="H481" s="292" t="s">
        <v>4623</v>
      </c>
      <c r="I481" s="293" t="s">
        <v>4623</v>
      </c>
      <c r="J481" s="293" t="s">
        <v>4623</v>
      </c>
      <c r="K481" s="290" t="s">
        <v>4623</v>
      </c>
      <c r="L481" s="290" t="s">
        <v>4623</v>
      </c>
      <c r="M481" s="290" t="s">
        <v>4623</v>
      </c>
      <c r="N481" s="290" t="s">
        <v>4623</v>
      </c>
      <c r="O481" s="290" t="s">
        <v>4623</v>
      </c>
      <c r="P481" s="290" t="s">
        <v>999</v>
      </c>
      <c r="Q481" s="291" t="s">
        <v>4623</v>
      </c>
      <c r="R481" s="276"/>
      <c r="S481" s="277">
        <f>IF(OR(C481="",C481=T$4),NA(),MATCH($B481&amp;$C481,'Smelter Reference List'!$J:$J,0))</f>
        <v>222</v>
      </c>
      <c r="T481" s="278"/>
      <c r="U481" s="278"/>
      <c r="V481" s="278"/>
      <c r="W481" s="278"/>
    </row>
    <row r="482" spans="1:23" s="269" customFormat="1" ht="20.25">
      <c r="A482" s="267"/>
      <c r="B482" s="275" t="s">
        <v>2436</v>
      </c>
      <c r="C482" s="275" t="s">
        <v>3831</v>
      </c>
      <c r="D482" s="168" t="s">
        <v>5442</v>
      </c>
      <c r="E482" s="168" t="s">
        <v>2308</v>
      </c>
      <c r="F482" s="168" t="s">
        <v>4623</v>
      </c>
      <c r="G482" s="168" t="s">
        <v>4623</v>
      </c>
      <c r="H482" s="292" t="s">
        <v>5443</v>
      </c>
      <c r="I482" s="293" t="s">
        <v>4623</v>
      </c>
      <c r="J482" s="293" t="s">
        <v>3396</v>
      </c>
      <c r="K482" s="290" t="s">
        <v>4623</v>
      </c>
      <c r="L482" s="290" t="s">
        <v>4623</v>
      </c>
      <c r="M482" s="290" t="s">
        <v>4623</v>
      </c>
      <c r="N482" s="290" t="s">
        <v>4623</v>
      </c>
      <c r="O482" s="290" t="s">
        <v>4623</v>
      </c>
      <c r="P482" s="290" t="s">
        <v>999</v>
      </c>
      <c r="Q482" s="291" t="s">
        <v>4623</v>
      </c>
      <c r="R482" s="276"/>
      <c r="S482" s="277">
        <f>IF(OR(C482="",C482=T$4),NA(),MATCH($B482&amp;$C482,'Smelter Reference List'!$J:$J,0))</f>
        <v>222</v>
      </c>
      <c r="T482" s="278"/>
      <c r="U482" s="278"/>
      <c r="V482" s="278"/>
      <c r="W482" s="278"/>
    </row>
    <row r="483" spans="1:23" s="269" customFormat="1" ht="20.25">
      <c r="A483" s="267"/>
      <c r="B483" s="275" t="s">
        <v>2436</v>
      </c>
      <c r="C483" s="275" t="s">
        <v>3831</v>
      </c>
      <c r="D483" s="168" t="s">
        <v>5444</v>
      </c>
      <c r="E483" s="168" t="s">
        <v>2308</v>
      </c>
      <c r="F483" s="168" t="s">
        <v>4623</v>
      </c>
      <c r="G483" s="168" t="s">
        <v>4623</v>
      </c>
      <c r="H483" s="292" t="s">
        <v>5445</v>
      </c>
      <c r="I483" s="293" t="s">
        <v>5446</v>
      </c>
      <c r="J483" s="293" t="s">
        <v>5447</v>
      </c>
      <c r="K483" s="290" t="s">
        <v>5448</v>
      </c>
      <c r="L483" s="290" t="s">
        <v>5449</v>
      </c>
      <c r="M483" s="290" t="s">
        <v>4623</v>
      </c>
      <c r="N483" s="290" t="s">
        <v>4671</v>
      </c>
      <c r="O483" s="290" t="s">
        <v>4671</v>
      </c>
      <c r="P483" s="290" t="s">
        <v>999</v>
      </c>
      <c r="Q483" s="291" t="s">
        <v>4623</v>
      </c>
      <c r="R483" s="276"/>
      <c r="S483" s="277">
        <f>IF(OR(C483="",C483=T$4),NA(),MATCH($B483&amp;$C483,'Smelter Reference List'!$J:$J,0))</f>
        <v>222</v>
      </c>
      <c r="T483" s="278"/>
      <c r="U483" s="278"/>
      <c r="V483" s="278"/>
      <c r="W483" s="278"/>
    </row>
    <row r="484" spans="1:23" s="269" customFormat="1" ht="20.25">
      <c r="A484" s="267"/>
      <c r="B484" s="275" t="s">
        <v>2436</v>
      </c>
      <c r="C484" s="275" t="s">
        <v>3831</v>
      </c>
      <c r="D484" s="168" t="s">
        <v>5450</v>
      </c>
      <c r="E484" s="168" t="s">
        <v>2308</v>
      </c>
      <c r="F484" s="168" t="s">
        <v>4623</v>
      </c>
      <c r="G484" s="168" t="s">
        <v>4623</v>
      </c>
      <c r="H484" s="292" t="s">
        <v>4623</v>
      </c>
      <c r="I484" s="293" t="s">
        <v>4623</v>
      </c>
      <c r="J484" s="293" t="s">
        <v>4623</v>
      </c>
      <c r="K484" s="290" t="s">
        <v>4623</v>
      </c>
      <c r="L484" s="290" t="s">
        <v>4623</v>
      </c>
      <c r="M484" s="290" t="s">
        <v>4623</v>
      </c>
      <c r="N484" s="290" t="s">
        <v>4623</v>
      </c>
      <c r="O484" s="290" t="s">
        <v>4623</v>
      </c>
      <c r="P484" s="290" t="s">
        <v>999</v>
      </c>
      <c r="Q484" s="291" t="s">
        <v>4623</v>
      </c>
      <c r="R484" s="276"/>
      <c r="S484" s="277">
        <f>IF(OR(C484="",C484=T$4),NA(),MATCH($B484&amp;$C484,'Smelter Reference List'!$J:$J,0))</f>
        <v>222</v>
      </c>
      <c r="T484" s="278"/>
      <c r="U484" s="278"/>
      <c r="V484" s="278"/>
      <c r="W484" s="278"/>
    </row>
    <row r="485" spans="1:23" s="269" customFormat="1" ht="20.25">
      <c r="A485" s="267"/>
      <c r="B485" s="275" t="s">
        <v>2436</v>
      </c>
      <c r="C485" s="275" t="s">
        <v>3831</v>
      </c>
      <c r="D485" s="168" t="s">
        <v>5451</v>
      </c>
      <c r="E485" s="168" t="s">
        <v>2308</v>
      </c>
      <c r="F485" s="168" t="s">
        <v>4623</v>
      </c>
      <c r="G485" s="168" t="s">
        <v>4623</v>
      </c>
      <c r="H485" s="292" t="s">
        <v>4623</v>
      </c>
      <c r="I485" s="293" t="s">
        <v>4623</v>
      </c>
      <c r="J485" s="293" t="s">
        <v>4623</v>
      </c>
      <c r="K485" s="290" t="s">
        <v>4623</v>
      </c>
      <c r="L485" s="290" t="s">
        <v>4623</v>
      </c>
      <c r="M485" s="290" t="s">
        <v>4623</v>
      </c>
      <c r="N485" s="290" t="s">
        <v>4623</v>
      </c>
      <c r="O485" s="290" t="s">
        <v>4623</v>
      </c>
      <c r="P485" s="290" t="s">
        <v>999</v>
      </c>
      <c r="Q485" s="291" t="s">
        <v>4623</v>
      </c>
      <c r="R485" s="276"/>
      <c r="S485" s="277">
        <f>IF(OR(C485="",C485=T$4),NA(),MATCH($B485&amp;$C485,'Smelter Reference List'!$J:$J,0))</f>
        <v>222</v>
      </c>
      <c r="T485" s="278"/>
      <c r="U485" s="278"/>
      <c r="V485" s="278"/>
      <c r="W485" s="278"/>
    </row>
    <row r="486" spans="1:23" s="269" customFormat="1" ht="20.25">
      <c r="A486" s="267"/>
      <c r="B486" s="275" t="s">
        <v>2436</v>
      </c>
      <c r="C486" s="275" t="s">
        <v>3831</v>
      </c>
      <c r="D486" s="168" t="s">
        <v>5452</v>
      </c>
      <c r="E486" s="168" t="s">
        <v>2308</v>
      </c>
      <c r="F486" s="168" t="s">
        <v>4623</v>
      </c>
      <c r="G486" s="168" t="s">
        <v>4623</v>
      </c>
      <c r="H486" s="292" t="s">
        <v>4623</v>
      </c>
      <c r="I486" s="293" t="s">
        <v>4623</v>
      </c>
      <c r="J486" s="293" t="s">
        <v>4623</v>
      </c>
      <c r="K486" s="290" t="s">
        <v>4623</v>
      </c>
      <c r="L486" s="290" t="s">
        <v>4623</v>
      </c>
      <c r="M486" s="290" t="s">
        <v>4623</v>
      </c>
      <c r="N486" s="290" t="s">
        <v>4623</v>
      </c>
      <c r="O486" s="290" t="s">
        <v>4623</v>
      </c>
      <c r="P486" s="290" t="s">
        <v>999</v>
      </c>
      <c r="Q486" s="291" t="s">
        <v>4623</v>
      </c>
      <c r="R486" s="276"/>
      <c r="S486" s="277">
        <f>IF(OR(C486="",C486=T$4),NA(),MATCH($B486&amp;$C486,'Smelter Reference List'!$J:$J,0))</f>
        <v>222</v>
      </c>
      <c r="T486" s="278"/>
      <c r="U486" s="278"/>
      <c r="V486" s="278"/>
      <c r="W486" s="278"/>
    </row>
    <row r="487" spans="1:23" s="269" customFormat="1" ht="20.25">
      <c r="A487" s="267"/>
      <c r="B487" s="275" t="s">
        <v>2436</v>
      </c>
      <c r="C487" s="275" t="s">
        <v>3831</v>
      </c>
      <c r="D487" s="168" t="s">
        <v>5453</v>
      </c>
      <c r="E487" s="168" t="s">
        <v>2308</v>
      </c>
      <c r="F487" s="168" t="s">
        <v>4623</v>
      </c>
      <c r="G487" s="168" t="s">
        <v>4623</v>
      </c>
      <c r="H487" s="292" t="s">
        <v>4657</v>
      </c>
      <c r="I487" s="293" t="s">
        <v>4623</v>
      </c>
      <c r="J487" s="293" t="s">
        <v>4623</v>
      </c>
      <c r="K487" s="290" t="s">
        <v>5454</v>
      </c>
      <c r="L487" s="290" t="s">
        <v>5455</v>
      </c>
      <c r="M487" s="290" t="s">
        <v>4623</v>
      </c>
      <c r="N487" s="290" t="s">
        <v>4671</v>
      </c>
      <c r="O487" s="290" t="s">
        <v>4671</v>
      </c>
      <c r="P487" s="290" t="s">
        <v>999</v>
      </c>
      <c r="Q487" s="291" t="s">
        <v>4623</v>
      </c>
      <c r="R487" s="276"/>
      <c r="S487" s="277">
        <f>IF(OR(C487="",C487=T$4),NA(),MATCH($B487&amp;$C487,'Smelter Reference List'!$J:$J,0))</f>
        <v>222</v>
      </c>
      <c r="T487" s="278"/>
      <c r="U487" s="278"/>
      <c r="V487" s="278"/>
      <c r="W487" s="278"/>
    </row>
    <row r="488" spans="1:23" s="269" customFormat="1" ht="20.25">
      <c r="A488" s="267"/>
      <c r="B488" s="275" t="s">
        <v>2436</v>
      </c>
      <c r="C488" s="275" t="s">
        <v>3831</v>
      </c>
      <c r="D488" s="168" t="s">
        <v>5456</v>
      </c>
      <c r="E488" s="168" t="s">
        <v>2308</v>
      </c>
      <c r="F488" s="168" t="s">
        <v>4623</v>
      </c>
      <c r="G488" s="168" t="s">
        <v>4623</v>
      </c>
      <c r="H488" s="292" t="s">
        <v>4623</v>
      </c>
      <c r="I488" s="293" t="s">
        <v>4623</v>
      </c>
      <c r="J488" s="293" t="s">
        <v>4623</v>
      </c>
      <c r="K488" s="290" t="s">
        <v>4623</v>
      </c>
      <c r="L488" s="290" t="s">
        <v>4623</v>
      </c>
      <c r="M488" s="290" t="s">
        <v>4623</v>
      </c>
      <c r="N488" s="290" t="s">
        <v>4623</v>
      </c>
      <c r="O488" s="290" t="s">
        <v>4623</v>
      </c>
      <c r="P488" s="290" t="s">
        <v>999</v>
      </c>
      <c r="Q488" s="291" t="s">
        <v>4623</v>
      </c>
      <c r="R488" s="276"/>
      <c r="S488" s="277">
        <f>IF(OR(C488="",C488=T$4),NA(),MATCH($B488&amp;$C488,'Smelter Reference List'!$J:$J,0))</f>
        <v>222</v>
      </c>
      <c r="T488" s="278"/>
      <c r="U488" s="278"/>
      <c r="V488" s="278"/>
      <c r="W488" s="278"/>
    </row>
    <row r="489" spans="1:23" s="269" customFormat="1" ht="20.25">
      <c r="A489" s="267"/>
      <c r="B489" s="275" t="s">
        <v>2436</v>
      </c>
      <c r="C489" s="275" t="s">
        <v>3831</v>
      </c>
      <c r="D489" s="168" t="s">
        <v>5457</v>
      </c>
      <c r="E489" s="168" t="s">
        <v>2308</v>
      </c>
      <c r="F489" s="168" t="s">
        <v>4623</v>
      </c>
      <c r="G489" s="168" t="s">
        <v>4623</v>
      </c>
      <c r="H489" s="292" t="s">
        <v>4623</v>
      </c>
      <c r="I489" s="293" t="s">
        <v>4623</v>
      </c>
      <c r="J489" s="293" t="s">
        <v>4623</v>
      </c>
      <c r="K489" s="290" t="s">
        <v>4623</v>
      </c>
      <c r="L489" s="290" t="s">
        <v>4623</v>
      </c>
      <c r="M489" s="290" t="s">
        <v>4623</v>
      </c>
      <c r="N489" s="290" t="s">
        <v>4623</v>
      </c>
      <c r="O489" s="290" t="s">
        <v>4623</v>
      </c>
      <c r="P489" s="290" t="s">
        <v>999</v>
      </c>
      <c r="Q489" s="291" t="s">
        <v>4623</v>
      </c>
      <c r="R489" s="276"/>
      <c r="S489" s="277">
        <f>IF(OR(C489="",C489=T$4),NA(),MATCH($B489&amp;$C489,'Smelter Reference List'!$J:$J,0))</f>
        <v>222</v>
      </c>
      <c r="T489" s="278"/>
      <c r="U489" s="278"/>
      <c r="V489" s="278"/>
      <c r="W489" s="278"/>
    </row>
    <row r="490" spans="1:23" s="269" customFormat="1" ht="20.25">
      <c r="A490" s="267"/>
      <c r="B490" s="275" t="s">
        <v>2436</v>
      </c>
      <c r="C490" s="275" t="s">
        <v>3831</v>
      </c>
      <c r="D490" s="168" t="s">
        <v>5458</v>
      </c>
      <c r="E490" s="168" t="s">
        <v>2308</v>
      </c>
      <c r="F490" s="168" t="s">
        <v>4623</v>
      </c>
      <c r="G490" s="168" t="s">
        <v>4623</v>
      </c>
      <c r="H490" s="292" t="s">
        <v>4623</v>
      </c>
      <c r="I490" s="293" t="s">
        <v>4623</v>
      </c>
      <c r="J490" s="293" t="s">
        <v>4623</v>
      </c>
      <c r="K490" s="290" t="s">
        <v>4623</v>
      </c>
      <c r="L490" s="290" t="s">
        <v>4623</v>
      </c>
      <c r="M490" s="290" t="s">
        <v>4623</v>
      </c>
      <c r="N490" s="290" t="s">
        <v>4623</v>
      </c>
      <c r="O490" s="290" t="s">
        <v>4623</v>
      </c>
      <c r="P490" s="290" t="s">
        <v>999</v>
      </c>
      <c r="Q490" s="291" t="s">
        <v>4623</v>
      </c>
      <c r="R490" s="276"/>
      <c r="S490" s="277">
        <f>IF(OR(C490="",C490=T$4),NA(),MATCH($B490&amp;$C490,'Smelter Reference List'!$J:$J,0))</f>
        <v>222</v>
      </c>
      <c r="T490" s="278"/>
      <c r="U490" s="278"/>
      <c r="V490" s="278"/>
      <c r="W490" s="278"/>
    </row>
    <row r="491" spans="1:23" s="269" customFormat="1" ht="20.25">
      <c r="A491" s="267"/>
      <c r="B491" s="275" t="s">
        <v>2436</v>
      </c>
      <c r="C491" s="275" t="s">
        <v>3831</v>
      </c>
      <c r="D491" s="168" t="s">
        <v>5459</v>
      </c>
      <c r="E491" s="168" t="s">
        <v>2308</v>
      </c>
      <c r="F491" s="168" t="s">
        <v>4623</v>
      </c>
      <c r="G491" s="168" t="s">
        <v>4623</v>
      </c>
      <c r="H491" s="292" t="s">
        <v>4623</v>
      </c>
      <c r="I491" s="293" t="s">
        <v>4623</v>
      </c>
      <c r="J491" s="293" t="s">
        <v>4623</v>
      </c>
      <c r="K491" s="290" t="s">
        <v>4623</v>
      </c>
      <c r="L491" s="290" t="s">
        <v>4623</v>
      </c>
      <c r="M491" s="290" t="s">
        <v>4623</v>
      </c>
      <c r="N491" s="290" t="s">
        <v>4623</v>
      </c>
      <c r="O491" s="290" t="s">
        <v>4623</v>
      </c>
      <c r="P491" s="290" t="s">
        <v>999</v>
      </c>
      <c r="Q491" s="291" t="s">
        <v>4623</v>
      </c>
      <c r="R491" s="276"/>
      <c r="S491" s="277">
        <f>IF(OR(C491="",C491=T$4),NA(),MATCH($B491&amp;$C491,'Smelter Reference List'!$J:$J,0))</f>
        <v>222</v>
      </c>
      <c r="T491" s="278"/>
      <c r="U491" s="278"/>
      <c r="V491" s="278"/>
      <c r="W491" s="278"/>
    </row>
    <row r="492" spans="1:23" s="269" customFormat="1" ht="20.25">
      <c r="A492" s="267"/>
      <c r="B492" s="275" t="s">
        <v>2436</v>
      </c>
      <c r="C492" s="275" t="s">
        <v>3831</v>
      </c>
      <c r="D492" s="168" t="s">
        <v>5460</v>
      </c>
      <c r="E492" s="168" t="s">
        <v>2308</v>
      </c>
      <c r="F492" s="168" t="s">
        <v>4623</v>
      </c>
      <c r="G492" s="168" t="s">
        <v>4623</v>
      </c>
      <c r="H492" s="292" t="s">
        <v>4623</v>
      </c>
      <c r="I492" s="293" t="s">
        <v>4623</v>
      </c>
      <c r="J492" s="293" t="s">
        <v>4623</v>
      </c>
      <c r="K492" s="290" t="s">
        <v>4623</v>
      </c>
      <c r="L492" s="290" t="s">
        <v>4623</v>
      </c>
      <c r="M492" s="290" t="s">
        <v>4623</v>
      </c>
      <c r="N492" s="290" t="s">
        <v>4623</v>
      </c>
      <c r="O492" s="290" t="s">
        <v>4623</v>
      </c>
      <c r="P492" s="290" t="s">
        <v>999</v>
      </c>
      <c r="Q492" s="291" t="s">
        <v>4623</v>
      </c>
      <c r="R492" s="276"/>
      <c r="S492" s="277">
        <f>IF(OR(C492="",C492=T$4),NA(),MATCH($B492&amp;$C492,'Smelter Reference List'!$J:$J,0))</f>
        <v>222</v>
      </c>
      <c r="T492" s="278"/>
      <c r="U492" s="278"/>
      <c r="V492" s="278"/>
      <c r="W492" s="278"/>
    </row>
    <row r="493" spans="1:23" s="269" customFormat="1" ht="20.25">
      <c r="A493" s="267"/>
      <c r="B493" s="275" t="s">
        <v>2436</v>
      </c>
      <c r="C493" s="275" t="s">
        <v>3831</v>
      </c>
      <c r="D493" s="168" t="s">
        <v>5461</v>
      </c>
      <c r="E493" s="168" t="s">
        <v>2308</v>
      </c>
      <c r="F493" s="168" t="s">
        <v>4623</v>
      </c>
      <c r="G493" s="168" t="s">
        <v>4623</v>
      </c>
      <c r="H493" s="292" t="s">
        <v>4623</v>
      </c>
      <c r="I493" s="293" t="s">
        <v>4623</v>
      </c>
      <c r="J493" s="293" t="s">
        <v>4623</v>
      </c>
      <c r="K493" s="290" t="s">
        <v>4623</v>
      </c>
      <c r="L493" s="290" t="s">
        <v>4623</v>
      </c>
      <c r="M493" s="290" t="s">
        <v>4623</v>
      </c>
      <c r="N493" s="290" t="s">
        <v>4623</v>
      </c>
      <c r="O493" s="290" t="s">
        <v>4623</v>
      </c>
      <c r="P493" s="290" t="s">
        <v>999</v>
      </c>
      <c r="Q493" s="291" t="s">
        <v>4623</v>
      </c>
      <c r="R493" s="276"/>
      <c r="S493" s="277">
        <f>IF(OR(C493="",C493=T$4),NA(),MATCH($B493&amp;$C493,'Smelter Reference List'!$J:$J,0))</f>
        <v>222</v>
      </c>
      <c r="T493" s="278"/>
      <c r="U493" s="278"/>
      <c r="V493" s="278"/>
      <c r="W493" s="278"/>
    </row>
    <row r="494" spans="1:23" s="269" customFormat="1" ht="20.25">
      <c r="A494" s="267"/>
      <c r="B494" s="275" t="s">
        <v>2436</v>
      </c>
      <c r="C494" s="275" t="s">
        <v>3831</v>
      </c>
      <c r="D494" s="168" t="s">
        <v>5462</v>
      </c>
      <c r="E494" s="168" t="s">
        <v>2308</v>
      </c>
      <c r="F494" s="168" t="s">
        <v>4623</v>
      </c>
      <c r="G494" s="168" t="s">
        <v>4623</v>
      </c>
      <c r="H494" s="292" t="s">
        <v>4623</v>
      </c>
      <c r="I494" s="293" t="s">
        <v>4623</v>
      </c>
      <c r="J494" s="293" t="s">
        <v>4623</v>
      </c>
      <c r="K494" s="290" t="s">
        <v>4623</v>
      </c>
      <c r="L494" s="290" t="s">
        <v>4623</v>
      </c>
      <c r="M494" s="290" t="s">
        <v>4623</v>
      </c>
      <c r="N494" s="290" t="s">
        <v>4623</v>
      </c>
      <c r="O494" s="290" t="s">
        <v>4623</v>
      </c>
      <c r="P494" s="290" t="s">
        <v>999</v>
      </c>
      <c r="Q494" s="291" t="s">
        <v>4623</v>
      </c>
      <c r="R494" s="276"/>
      <c r="S494" s="277">
        <f>IF(OR(C494="",C494=T$4),NA(),MATCH($B494&amp;$C494,'Smelter Reference List'!$J:$J,0))</f>
        <v>222</v>
      </c>
      <c r="T494" s="278"/>
      <c r="U494" s="278"/>
      <c r="V494" s="278"/>
      <c r="W494" s="278"/>
    </row>
    <row r="495" spans="1:23" s="269" customFormat="1" ht="20.25">
      <c r="A495" s="267"/>
      <c r="B495" s="275" t="s">
        <v>2436</v>
      </c>
      <c r="C495" s="275" t="s">
        <v>3831</v>
      </c>
      <c r="D495" s="168" t="s">
        <v>5463</v>
      </c>
      <c r="E495" s="168" t="s">
        <v>2308</v>
      </c>
      <c r="F495" s="168" t="s">
        <v>4623</v>
      </c>
      <c r="G495" s="168" t="s">
        <v>4623</v>
      </c>
      <c r="H495" s="292" t="s">
        <v>4623</v>
      </c>
      <c r="I495" s="293" t="s">
        <v>4623</v>
      </c>
      <c r="J495" s="293" t="s">
        <v>4623</v>
      </c>
      <c r="K495" s="290" t="s">
        <v>4623</v>
      </c>
      <c r="L495" s="290" t="s">
        <v>4623</v>
      </c>
      <c r="M495" s="290" t="s">
        <v>4623</v>
      </c>
      <c r="N495" s="290" t="s">
        <v>4623</v>
      </c>
      <c r="O495" s="290" t="s">
        <v>4623</v>
      </c>
      <c r="P495" s="290" t="s">
        <v>999</v>
      </c>
      <c r="Q495" s="291" t="s">
        <v>4623</v>
      </c>
      <c r="R495" s="276"/>
      <c r="S495" s="277">
        <f>IF(OR(C495="",C495=T$4),NA(),MATCH($B495&amp;$C495,'Smelter Reference List'!$J:$J,0))</f>
        <v>222</v>
      </c>
      <c r="T495" s="278"/>
      <c r="U495" s="278"/>
      <c r="V495" s="278"/>
      <c r="W495" s="278"/>
    </row>
    <row r="496" spans="1:23" s="269" customFormat="1" ht="20.25">
      <c r="A496" s="267"/>
      <c r="B496" s="275" t="s">
        <v>2436</v>
      </c>
      <c r="C496" s="275" t="s">
        <v>3831</v>
      </c>
      <c r="D496" s="168" t="s">
        <v>5464</v>
      </c>
      <c r="E496" s="168" t="s">
        <v>2308</v>
      </c>
      <c r="F496" s="168" t="s">
        <v>4623</v>
      </c>
      <c r="G496" s="168" t="s">
        <v>4623</v>
      </c>
      <c r="H496" s="292" t="s">
        <v>4623</v>
      </c>
      <c r="I496" s="293" t="s">
        <v>4623</v>
      </c>
      <c r="J496" s="293" t="s">
        <v>4623</v>
      </c>
      <c r="K496" s="290" t="s">
        <v>4623</v>
      </c>
      <c r="L496" s="290" t="s">
        <v>4623</v>
      </c>
      <c r="M496" s="290" t="s">
        <v>4623</v>
      </c>
      <c r="N496" s="290" t="s">
        <v>4623</v>
      </c>
      <c r="O496" s="290" t="s">
        <v>4623</v>
      </c>
      <c r="P496" s="290" t="s">
        <v>999</v>
      </c>
      <c r="Q496" s="291" t="s">
        <v>4623</v>
      </c>
      <c r="R496" s="276"/>
      <c r="S496" s="277">
        <f>IF(OR(C496="",C496=T$4),NA(),MATCH($B496&amp;$C496,'Smelter Reference List'!$J:$J,0))</f>
        <v>222</v>
      </c>
      <c r="T496" s="278"/>
      <c r="U496" s="278"/>
      <c r="V496" s="278"/>
      <c r="W496" s="278"/>
    </row>
    <row r="497" spans="1:23" s="269" customFormat="1" ht="20.25">
      <c r="A497" s="267"/>
      <c r="B497" s="275" t="s">
        <v>2436</v>
      </c>
      <c r="C497" s="275" t="s">
        <v>3831</v>
      </c>
      <c r="D497" s="168" t="s">
        <v>5465</v>
      </c>
      <c r="E497" s="168" t="s">
        <v>2308</v>
      </c>
      <c r="F497" s="168" t="s">
        <v>4623</v>
      </c>
      <c r="G497" s="168" t="s">
        <v>4623</v>
      </c>
      <c r="H497" s="292" t="s">
        <v>5466</v>
      </c>
      <c r="I497" s="293" t="s">
        <v>5467</v>
      </c>
      <c r="J497" s="293" t="s">
        <v>5468</v>
      </c>
      <c r="K497" s="290" t="s">
        <v>5469</v>
      </c>
      <c r="L497" s="290" t="s">
        <v>5470</v>
      </c>
      <c r="M497" s="290" t="s">
        <v>4623</v>
      </c>
      <c r="N497" s="290" t="s">
        <v>4623</v>
      </c>
      <c r="O497" s="290" t="s">
        <v>4671</v>
      </c>
      <c r="P497" s="290" t="s">
        <v>999</v>
      </c>
      <c r="Q497" s="291" t="s">
        <v>4623</v>
      </c>
      <c r="R497" s="276"/>
      <c r="S497" s="277">
        <f>IF(OR(C497="",C497=T$4),NA(),MATCH($B497&amp;$C497,'Smelter Reference List'!$J:$J,0))</f>
        <v>222</v>
      </c>
      <c r="T497" s="278"/>
      <c r="U497" s="278"/>
      <c r="V497" s="278"/>
      <c r="W497" s="278"/>
    </row>
    <row r="498" spans="1:23" s="269" customFormat="1" ht="20.25">
      <c r="A498" s="267"/>
      <c r="B498" s="275" t="s">
        <v>2436</v>
      </c>
      <c r="C498" s="275" t="s">
        <v>3831</v>
      </c>
      <c r="D498" s="168" t="s">
        <v>5471</v>
      </c>
      <c r="E498" s="168" t="s">
        <v>2308</v>
      </c>
      <c r="F498" s="168" t="s">
        <v>4623</v>
      </c>
      <c r="G498" s="168" t="s">
        <v>4623</v>
      </c>
      <c r="H498" s="292" t="s">
        <v>4623</v>
      </c>
      <c r="I498" s="293" t="s">
        <v>4623</v>
      </c>
      <c r="J498" s="293" t="s">
        <v>4623</v>
      </c>
      <c r="K498" s="290" t="s">
        <v>4623</v>
      </c>
      <c r="L498" s="290" t="s">
        <v>4623</v>
      </c>
      <c r="M498" s="290" t="s">
        <v>4623</v>
      </c>
      <c r="N498" s="290" t="s">
        <v>4623</v>
      </c>
      <c r="O498" s="290" t="s">
        <v>4623</v>
      </c>
      <c r="P498" s="290" t="s">
        <v>999</v>
      </c>
      <c r="Q498" s="291" t="s">
        <v>4623</v>
      </c>
      <c r="R498" s="276"/>
      <c r="S498" s="277">
        <f>IF(OR(C498="",C498=T$4),NA(),MATCH($B498&amp;$C498,'Smelter Reference List'!$J:$J,0))</f>
        <v>222</v>
      </c>
      <c r="T498" s="278"/>
      <c r="U498" s="278"/>
      <c r="V498" s="278"/>
      <c r="W498" s="278"/>
    </row>
    <row r="499" spans="1:23" s="269" customFormat="1" ht="20.25">
      <c r="A499" s="267"/>
      <c r="B499" s="275" t="s">
        <v>2436</v>
      </c>
      <c r="C499" s="275" t="s">
        <v>3831</v>
      </c>
      <c r="D499" s="168" t="s">
        <v>5472</v>
      </c>
      <c r="E499" s="168" t="s">
        <v>2308</v>
      </c>
      <c r="F499" s="168" t="s">
        <v>4623</v>
      </c>
      <c r="G499" s="168" t="s">
        <v>4623</v>
      </c>
      <c r="H499" s="292" t="s">
        <v>5473</v>
      </c>
      <c r="I499" s="293" t="s">
        <v>5474</v>
      </c>
      <c r="J499" s="293" t="s">
        <v>4623</v>
      </c>
      <c r="K499" s="290" t="s">
        <v>4623</v>
      </c>
      <c r="L499" s="290" t="s">
        <v>5033</v>
      </c>
      <c r="M499" s="290" t="s">
        <v>4623</v>
      </c>
      <c r="N499" s="290" t="s">
        <v>4623</v>
      </c>
      <c r="O499" s="290" t="s">
        <v>4623</v>
      </c>
      <c r="P499" s="290" t="s">
        <v>999</v>
      </c>
      <c r="Q499" s="291" t="s">
        <v>4623</v>
      </c>
      <c r="R499" s="276"/>
      <c r="S499" s="277">
        <f>IF(OR(C499="",C499=T$4),NA(),MATCH($B499&amp;$C499,'Smelter Reference List'!$J:$J,0))</f>
        <v>222</v>
      </c>
      <c r="T499" s="278"/>
      <c r="U499" s="278"/>
      <c r="V499" s="278"/>
      <c r="W499" s="278"/>
    </row>
    <row r="500" spans="1:23" s="269" customFormat="1" ht="20.25">
      <c r="A500" s="267"/>
      <c r="B500" s="275" t="s">
        <v>2436</v>
      </c>
      <c r="C500" s="275" t="s">
        <v>3831</v>
      </c>
      <c r="D500" s="168" t="s">
        <v>5475</v>
      </c>
      <c r="E500" s="168" t="s">
        <v>2345</v>
      </c>
      <c r="F500" s="168" t="s">
        <v>4623</v>
      </c>
      <c r="G500" s="168" t="s">
        <v>4623</v>
      </c>
      <c r="H500" s="292" t="s">
        <v>4623</v>
      </c>
      <c r="I500" s="293" t="s">
        <v>4623</v>
      </c>
      <c r="J500" s="293" t="s">
        <v>4623</v>
      </c>
      <c r="K500" s="290" t="s">
        <v>4623</v>
      </c>
      <c r="L500" s="290" t="s">
        <v>4623</v>
      </c>
      <c r="M500" s="290" t="s">
        <v>4623</v>
      </c>
      <c r="N500" s="290" t="s">
        <v>4623</v>
      </c>
      <c r="O500" s="290" t="s">
        <v>4623</v>
      </c>
      <c r="P500" s="290" t="s">
        <v>999</v>
      </c>
      <c r="Q500" s="291" t="s">
        <v>4623</v>
      </c>
      <c r="R500" s="276"/>
      <c r="S500" s="277">
        <f>IF(OR(C500="",C500=T$4),NA(),MATCH($B500&amp;$C500,'Smelter Reference List'!$J:$J,0))</f>
        <v>222</v>
      </c>
      <c r="T500" s="278"/>
      <c r="U500" s="278"/>
      <c r="V500" s="278"/>
      <c r="W500" s="278"/>
    </row>
    <row r="501" spans="1:23" s="269" customFormat="1" ht="20.25">
      <c r="A501" s="267"/>
      <c r="B501" s="275" t="s">
        <v>2436</v>
      </c>
      <c r="C501" s="275" t="s">
        <v>3831</v>
      </c>
      <c r="D501" s="168" t="s">
        <v>5476</v>
      </c>
      <c r="E501" s="168" t="s">
        <v>2345</v>
      </c>
      <c r="F501" s="168" t="s">
        <v>4623</v>
      </c>
      <c r="G501" s="168" t="s">
        <v>4623</v>
      </c>
      <c r="H501" s="292" t="s">
        <v>4623</v>
      </c>
      <c r="I501" s="293" t="s">
        <v>4623</v>
      </c>
      <c r="J501" s="293" t="s">
        <v>4623</v>
      </c>
      <c r="K501" s="290" t="s">
        <v>4623</v>
      </c>
      <c r="L501" s="290" t="s">
        <v>4623</v>
      </c>
      <c r="M501" s="290" t="s">
        <v>4623</v>
      </c>
      <c r="N501" s="290" t="s">
        <v>4623</v>
      </c>
      <c r="O501" s="290" t="s">
        <v>4623</v>
      </c>
      <c r="P501" s="290" t="s">
        <v>999</v>
      </c>
      <c r="Q501" s="291" t="s">
        <v>4623</v>
      </c>
      <c r="R501" s="276"/>
      <c r="S501" s="277">
        <f>IF(OR(C501="",C501=T$4),NA(),MATCH($B501&amp;$C501,'Smelter Reference List'!$J:$J,0))</f>
        <v>222</v>
      </c>
      <c r="T501" s="278"/>
      <c r="U501" s="278"/>
      <c r="V501" s="278"/>
      <c r="W501" s="278"/>
    </row>
    <row r="502" spans="1:23" s="269" customFormat="1" ht="20.25">
      <c r="A502" s="267"/>
      <c r="B502" s="275" t="s">
        <v>2436</v>
      </c>
      <c r="C502" s="275" t="s">
        <v>3831</v>
      </c>
      <c r="D502" s="168" t="s">
        <v>5477</v>
      </c>
      <c r="E502" s="168" t="s">
        <v>2345</v>
      </c>
      <c r="F502" s="168" t="s">
        <v>4623</v>
      </c>
      <c r="G502" s="168" t="s">
        <v>4623</v>
      </c>
      <c r="H502" s="292" t="s">
        <v>3394</v>
      </c>
      <c r="I502" s="293" t="s">
        <v>5478</v>
      </c>
      <c r="J502" s="293" t="s">
        <v>4623</v>
      </c>
      <c r="K502" s="290" t="s">
        <v>4623</v>
      </c>
      <c r="L502" s="290" t="s">
        <v>5479</v>
      </c>
      <c r="M502" s="290" t="s">
        <v>5480</v>
      </c>
      <c r="N502" s="290" t="s">
        <v>5481</v>
      </c>
      <c r="O502" s="290" t="s">
        <v>4623</v>
      </c>
      <c r="P502" s="290" t="s">
        <v>999</v>
      </c>
      <c r="Q502" s="291" t="s">
        <v>4623</v>
      </c>
      <c r="R502" s="276"/>
      <c r="S502" s="277">
        <f>IF(OR(C502="",C502=T$4),NA(),MATCH($B502&amp;$C502,'Smelter Reference List'!$J:$J,0))</f>
        <v>222</v>
      </c>
      <c r="T502" s="278"/>
      <c r="U502" s="278"/>
      <c r="V502" s="278"/>
      <c r="W502" s="278"/>
    </row>
    <row r="503" spans="1:23" s="269" customFormat="1" ht="20.25">
      <c r="A503" s="267"/>
      <c r="B503" s="275" t="s">
        <v>2436</v>
      </c>
      <c r="C503" s="275" t="s">
        <v>3831</v>
      </c>
      <c r="D503" s="168" t="s">
        <v>5482</v>
      </c>
      <c r="E503" s="168" t="s">
        <v>2345</v>
      </c>
      <c r="F503" s="168" t="s">
        <v>4623</v>
      </c>
      <c r="G503" s="168" t="s">
        <v>4623</v>
      </c>
      <c r="H503" s="292" t="s">
        <v>4623</v>
      </c>
      <c r="I503" s="293" t="s">
        <v>4623</v>
      </c>
      <c r="J503" s="293" t="s">
        <v>4623</v>
      </c>
      <c r="K503" s="290" t="s">
        <v>4623</v>
      </c>
      <c r="L503" s="290" t="s">
        <v>4623</v>
      </c>
      <c r="M503" s="290" t="s">
        <v>4623</v>
      </c>
      <c r="N503" s="290" t="s">
        <v>4623</v>
      </c>
      <c r="O503" s="290" t="s">
        <v>4623</v>
      </c>
      <c r="P503" s="290" t="s">
        <v>999</v>
      </c>
      <c r="Q503" s="291" t="s">
        <v>4623</v>
      </c>
      <c r="R503" s="276"/>
      <c r="S503" s="277">
        <f>IF(OR(C503="",C503=T$4),NA(),MATCH($B503&amp;$C503,'Smelter Reference List'!$J:$J,0))</f>
        <v>222</v>
      </c>
      <c r="T503" s="278"/>
      <c r="U503" s="278"/>
      <c r="V503" s="278"/>
      <c r="W503" s="278"/>
    </row>
    <row r="504" spans="1:23" s="269" customFormat="1" ht="20.25">
      <c r="A504" s="267"/>
      <c r="B504" s="275" t="s">
        <v>2436</v>
      </c>
      <c r="C504" s="275" t="s">
        <v>3831</v>
      </c>
      <c r="D504" s="168" t="s">
        <v>5483</v>
      </c>
      <c r="E504" s="168" t="s">
        <v>2345</v>
      </c>
      <c r="F504" s="168" t="s">
        <v>4623</v>
      </c>
      <c r="G504" s="168" t="s">
        <v>4623</v>
      </c>
      <c r="H504" s="292" t="s">
        <v>4623</v>
      </c>
      <c r="I504" s="293" t="s">
        <v>4623</v>
      </c>
      <c r="J504" s="293" t="s">
        <v>4623</v>
      </c>
      <c r="K504" s="290" t="s">
        <v>4623</v>
      </c>
      <c r="L504" s="290" t="s">
        <v>4623</v>
      </c>
      <c r="M504" s="290" t="s">
        <v>4623</v>
      </c>
      <c r="N504" s="290" t="s">
        <v>4623</v>
      </c>
      <c r="O504" s="290" t="s">
        <v>4623</v>
      </c>
      <c r="P504" s="290" t="s">
        <v>999</v>
      </c>
      <c r="Q504" s="291" t="s">
        <v>4623</v>
      </c>
      <c r="R504" s="276"/>
      <c r="S504" s="277">
        <f>IF(OR(C504="",C504=T$4),NA(),MATCH($B504&amp;$C504,'Smelter Reference List'!$J:$J,0))</f>
        <v>222</v>
      </c>
      <c r="T504" s="278"/>
      <c r="U504" s="278"/>
      <c r="V504" s="278"/>
      <c r="W504" s="278"/>
    </row>
    <row r="505" spans="1:23" s="269" customFormat="1" ht="20.25">
      <c r="A505" s="267"/>
      <c r="B505" s="275" t="s">
        <v>2436</v>
      </c>
      <c r="C505" s="275" t="s">
        <v>3831</v>
      </c>
      <c r="D505" s="168" t="s">
        <v>5484</v>
      </c>
      <c r="E505" s="168" t="s">
        <v>2345</v>
      </c>
      <c r="F505" s="168" t="s">
        <v>4623</v>
      </c>
      <c r="G505" s="168" t="s">
        <v>4623</v>
      </c>
      <c r="H505" s="292" t="s">
        <v>5485</v>
      </c>
      <c r="I505" s="293" t="s">
        <v>4623</v>
      </c>
      <c r="J505" s="293" t="s">
        <v>4623</v>
      </c>
      <c r="K505" s="290" t="s">
        <v>4623</v>
      </c>
      <c r="L505" s="290" t="s">
        <v>4623</v>
      </c>
      <c r="M505" s="290" t="s">
        <v>5486</v>
      </c>
      <c r="N505" s="290" t="s">
        <v>4678</v>
      </c>
      <c r="O505" s="290" t="s">
        <v>4678</v>
      </c>
      <c r="P505" s="290" t="s">
        <v>999</v>
      </c>
      <c r="Q505" s="291" t="s">
        <v>4623</v>
      </c>
      <c r="R505" s="276"/>
      <c r="S505" s="277">
        <f>IF(OR(C505="",C505=T$4),NA(),MATCH($B505&amp;$C505,'Smelter Reference List'!$J:$J,0))</f>
        <v>222</v>
      </c>
      <c r="T505" s="278"/>
      <c r="U505" s="278"/>
      <c r="V505" s="278"/>
      <c r="W505" s="278"/>
    </row>
    <row r="506" spans="1:23" s="269" customFormat="1" ht="20.25">
      <c r="A506" s="267"/>
      <c r="B506" s="275" t="s">
        <v>2436</v>
      </c>
      <c r="C506" s="275" t="s">
        <v>3831</v>
      </c>
      <c r="D506" s="168" t="s">
        <v>87</v>
      </c>
      <c r="E506" s="168" t="s">
        <v>2345</v>
      </c>
      <c r="F506" s="168" t="s">
        <v>4623</v>
      </c>
      <c r="G506" s="168" t="s">
        <v>4623</v>
      </c>
      <c r="H506" s="292" t="s">
        <v>5487</v>
      </c>
      <c r="I506" s="293" t="s">
        <v>5488</v>
      </c>
      <c r="J506" s="293" t="s">
        <v>5489</v>
      </c>
      <c r="K506" s="290" t="s">
        <v>5490</v>
      </c>
      <c r="L506" s="290" t="s">
        <v>5491</v>
      </c>
      <c r="M506" s="290" t="s">
        <v>5000</v>
      </c>
      <c r="N506" s="290" t="s">
        <v>4671</v>
      </c>
      <c r="O506" s="290" t="s">
        <v>4671</v>
      </c>
      <c r="P506" s="290" t="s">
        <v>999</v>
      </c>
      <c r="Q506" s="291" t="s">
        <v>5492</v>
      </c>
      <c r="R506" s="276"/>
      <c r="S506" s="277">
        <f>IF(OR(C506="",C506=T$4),NA(),MATCH($B506&amp;$C506,'Smelter Reference List'!$J:$J,0))</f>
        <v>222</v>
      </c>
      <c r="T506" s="278"/>
      <c r="U506" s="278"/>
      <c r="V506" s="278"/>
      <c r="W506" s="278"/>
    </row>
    <row r="507" spans="1:23" s="269" customFormat="1" ht="20.25">
      <c r="A507" s="267"/>
      <c r="B507" s="275" t="s">
        <v>2436</v>
      </c>
      <c r="C507" s="275" t="s">
        <v>3831</v>
      </c>
      <c r="D507" s="168" t="s">
        <v>5493</v>
      </c>
      <c r="E507" s="168" t="s">
        <v>2345</v>
      </c>
      <c r="F507" s="168" t="s">
        <v>4623</v>
      </c>
      <c r="G507" s="168" t="s">
        <v>4623</v>
      </c>
      <c r="H507" s="292" t="s">
        <v>5487</v>
      </c>
      <c r="I507" s="293" t="s">
        <v>5494</v>
      </c>
      <c r="J507" s="293" t="s">
        <v>3395</v>
      </c>
      <c r="K507" s="290" t="s">
        <v>4623</v>
      </c>
      <c r="L507" s="290" t="s">
        <v>4623</v>
      </c>
      <c r="M507" s="290" t="s">
        <v>4623</v>
      </c>
      <c r="N507" s="290" t="s">
        <v>4678</v>
      </c>
      <c r="O507" s="290" t="s">
        <v>4678</v>
      </c>
      <c r="P507" s="290" t="s">
        <v>999</v>
      </c>
      <c r="Q507" s="291" t="s">
        <v>4623</v>
      </c>
      <c r="R507" s="276"/>
      <c r="S507" s="277">
        <f>IF(OR(C507="",C507=T$4),NA(),MATCH($B507&amp;$C507,'Smelter Reference List'!$J:$J,0))</f>
        <v>222</v>
      </c>
      <c r="T507" s="278"/>
      <c r="U507" s="278"/>
      <c r="V507" s="278"/>
      <c r="W507" s="278"/>
    </row>
    <row r="508" spans="1:23" s="269" customFormat="1" ht="20.25">
      <c r="A508" s="267"/>
      <c r="B508" s="275" t="s">
        <v>2436</v>
      </c>
      <c r="C508" s="275" t="s">
        <v>3831</v>
      </c>
      <c r="D508" s="168" t="s">
        <v>5495</v>
      </c>
      <c r="E508" s="168" t="s">
        <v>2345</v>
      </c>
      <c r="F508" s="168" t="s">
        <v>4623</v>
      </c>
      <c r="G508" s="168" t="s">
        <v>4623</v>
      </c>
      <c r="H508" s="292" t="s">
        <v>4623</v>
      </c>
      <c r="I508" s="293" t="s">
        <v>4623</v>
      </c>
      <c r="J508" s="293" t="s">
        <v>4623</v>
      </c>
      <c r="K508" s="290" t="s">
        <v>4623</v>
      </c>
      <c r="L508" s="290" t="s">
        <v>4623</v>
      </c>
      <c r="M508" s="290" t="s">
        <v>4623</v>
      </c>
      <c r="N508" s="290" t="s">
        <v>4623</v>
      </c>
      <c r="O508" s="290" t="s">
        <v>4623</v>
      </c>
      <c r="P508" s="290" t="s">
        <v>999</v>
      </c>
      <c r="Q508" s="291" t="s">
        <v>4623</v>
      </c>
      <c r="R508" s="276"/>
      <c r="S508" s="277">
        <f>IF(OR(C508="",C508=T$4),NA(),MATCH($B508&amp;$C508,'Smelter Reference List'!$J:$J,0))</f>
        <v>222</v>
      </c>
      <c r="T508" s="278"/>
      <c r="U508" s="278"/>
      <c r="V508" s="278"/>
      <c r="W508" s="278"/>
    </row>
    <row r="509" spans="1:23" s="269" customFormat="1" ht="20.25">
      <c r="A509" s="267"/>
      <c r="B509" s="275" t="s">
        <v>2436</v>
      </c>
      <c r="C509" s="275" t="s">
        <v>3831</v>
      </c>
      <c r="D509" s="168" t="s">
        <v>5496</v>
      </c>
      <c r="E509" s="168" t="s">
        <v>2345</v>
      </c>
      <c r="F509" s="168" t="s">
        <v>4623</v>
      </c>
      <c r="G509" s="168" t="s">
        <v>4623</v>
      </c>
      <c r="H509" s="292" t="s">
        <v>4623</v>
      </c>
      <c r="I509" s="293" t="s">
        <v>4623</v>
      </c>
      <c r="J509" s="293" t="s">
        <v>4623</v>
      </c>
      <c r="K509" s="290" t="s">
        <v>4623</v>
      </c>
      <c r="L509" s="290" t="s">
        <v>4623</v>
      </c>
      <c r="M509" s="290" t="s">
        <v>4623</v>
      </c>
      <c r="N509" s="290" t="s">
        <v>4623</v>
      </c>
      <c r="O509" s="290" t="s">
        <v>4623</v>
      </c>
      <c r="P509" s="290" t="s">
        <v>999</v>
      </c>
      <c r="Q509" s="291" t="s">
        <v>4623</v>
      </c>
      <c r="R509" s="276"/>
      <c r="S509" s="277">
        <f>IF(OR(C509="",C509=T$4),NA(),MATCH($B509&amp;$C509,'Smelter Reference List'!$J:$J,0))</f>
        <v>222</v>
      </c>
      <c r="T509" s="278"/>
      <c r="U509" s="278"/>
      <c r="V509" s="278"/>
      <c r="W509" s="278"/>
    </row>
    <row r="510" spans="1:23" s="269" customFormat="1" ht="20.25">
      <c r="A510" s="267"/>
      <c r="B510" s="275" t="s">
        <v>2436</v>
      </c>
      <c r="C510" s="275" t="s">
        <v>3831</v>
      </c>
      <c r="D510" s="168" t="s">
        <v>5497</v>
      </c>
      <c r="E510" s="168" t="s">
        <v>2345</v>
      </c>
      <c r="F510" s="168" t="s">
        <v>4623</v>
      </c>
      <c r="G510" s="168" t="s">
        <v>4623</v>
      </c>
      <c r="H510" s="292" t="s">
        <v>4623</v>
      </c>
      <c r="I510" s="293" t="s">
        <v>4623</v>
      </c>
      <c r="J510" s="293" t="s">
        <v>4623</v>
      </c>
      <c r="K510" s="290" t="s">
        <v>4623</v>
      </c>
      <c r="L510" s="290" t="s">
        <v>4623</v>
      </c>
      <c r="M510" s="290" t="s">
        <v>4623</v>
      </c>
      <c r="N510" s="290" t="s">
        <v>4623</v>
      </c>
      <c r="O510" s="290" t="s">
        <v>4623</v>
      </c>
      <c r="P510" s="290" t="s">
        <v>999</v>
      </c>
      <c r="Q510" s="291" t="s">
        <v>4623</v>
      </c>
      <c r="R510" s="276"/>
      <c r="S510" s="277">
        <f>IF(OR(C510="",C510=T$4),NA(),MATCH($B510&amp;$C510,'Smelter Reference List'!$J:$J,0))</f>
        <v>222</v>
      </c>
      <c r="T510" s="278"/>
      <c r="U510" s="278"/>
      <c r="V510" s="278"/>
      <c r="W510" s="278"/>
    </row>
    <row r="511" spans="1:23" s="269" customFormat="1" ht="20.25">
      <c r="A511" s="267"/>
      <c r="B511" s="275" t="s">
        <v>2436</v>
      </c>
      <c r="C511" s="275" t="s">
        <v>3831</v>
      </c>
      <c r="D511" s="168" t="s">
        <v>5134</v>
      </c>
      <c r="E511" s="168" t="s">
        <v>2345</v>
      </c>
      <c r="F511" s="168" t="s">
        <v>4623</v>
      </c>
      <c r="G511" s="168" t="s">
        <v>4623</v>
      </c>
      <c r="H511" s="292" t="s">
        <v>4623</v>
      </c>
      <c r="I511" s="293" t="s">
        <v>4623</v>
      </c>
      <c r="J511" s="293" t="s">
        <v>4623</v>
      </c>
      <c r="K511" s="290" t="s">
        <v>4623</v>
      </c>
      <c r="L511" s="290" t="s">
        <v>4623</v>
      </c>
      <c r="M511" s="290" t="s">
        <v>4623</v>
      </c>
      <c r="N511" s="290" t="s">
        <v>4623</v>
      </c>
      <c r="O511" s="290" t="s">
        <v>4623</v>
      </c>
      <c r="P511" s="290" t="s">
        <v>999</v>
      </c>
      <c r="Q511" s="291" t="s">
        <v>4623</v>
      </c>
      <c r="R511" s="276"/>
      <c r="S511" s="277">
        <f>IF(OR(C511="",C511=T$4),NA(),MATCH($B511&amp;$C511,'Smelter Reference List'!$J:$J,0))</f>
        <v>222</v>
      </c>
      <c r="T511" s="278"/>
      <c r="U511" s="278"/>
      <c r="V511" s="278"/>
      <c r="W511" s="278"/>
    </row>
    <row r="512" spans="1:23" s="269" customFormat="1" ht="20.25">
      <c r="A512" s="267"/>
      <c r="B512" s="275" t="s">
        <v>2436</v>
      </c>
      <c r="C512" s="275" t="s">
        <v>3831</v>
      </c>
      <c r="D512" s="168" t="s">
        <v>5498</v>
      </c>
      <c r="E512" s="168" t="s">
        <v>2345</v>
      </c>
      <c r="F512" s="168" t="s">
        <v>4623</v>
      </c>
      <c r="G512" s="168" t="s">
        <v>4623</v>
      </c>
      <c r="H512" s="292">
        <v>1306</v>
      </c>
      <c r="I512" s="293" t="s">
        <v>5499</v>
      </c>
      <c r="J512" s="293" t="s">
        <v>5500</v>
      </c>
      <c r="K512" s="290" t="s">
        <v>4623</v>
      </c>
      <c r="L512" s="290" t="s">
        <v>4623</v>
      </c>
      <c r="M512" s="290" t="s">
        <v>4623</v>
      </c>
      <c r="N512" s="290" t="s">
        <v>4623</v>
      </c>
      <c r="O512" s="290" t="s">
        <v>4623</v>
      </c>
      <c r="P512" s="290" t="s">
        <v>999</v>
      </c>
      <c r="Q512" s="291" t="s">
        <v>4623</v>
      </c>
      <c r="R512" s="276"/>
      <c r="S512" s="277">
        <f>IF(OR(C512="",C512=T$4),NA(),MATCH($B512&amp;$C512,'Smelter Reference List'!$J:$J,0))</f>
        <v>222</v>
      </c>
      <c r="T512" s="278"/>
      <c r="U512" s="278"/>
      <c r="V512" s="278"/>
      <c r="W512" s="278"/>
    </row>
    <row r="513" spans="1:23" s="269" customFormat="1" ht="20.25">
      <c r="A513" s="267"/>
      <c r="B513" s="275" t="s">
        <v>2436</v>
      </c>
      <c r="C513" s="275" t="s">
        <v>3831</v>
      </c>
      <c r="D513" s="168" t="s">
        <v>5501</v>
      </c>
      <c r="E513" s="168" t="s">
        <v>2345</v>
      </c>
      <c r="F513" s="168" t="s">
        <v>4623</v>
      </c>
      <c r="G513" s="168" t="s">
        <v>4623</v>
      </c>
      <c r="H513" s="292" t="s">
        <v>4623</v>
      </c>
      <c r="I513" s="293" t="s">
        <v>4623</v>
      </c>
      <c r="J513" s="293" t="s">
        <v>4623</v>
      </c>
      <c r="K513" s="290" t="s">
        <v>4623</v>
      </c>
      <c r="L513" s="290" t="s">
        <v>4623</v>
      </c>
      <c r="M513" s="290" t="s">
        <v>4623</v>
      </c>
      <c r="N513" s="290" t="s">
        <v>4623</v>
      </c>
      <c r="O513" s="290" t="s">
        <v>4623</v>
      </c>
      <c r="P513" s="290" t="s">
        <v>999</v>
      </c>
      <c r="Q513" s="291" t="s">
        <v>4623</v>
      </c>
      <c r="R513" s="276"/>
      <c r="S513" s="277">
        <f>IF(OR(C513="",C513=T$4),NA(),MATCH($B513&amp;$C513,'Smelter Reference List'!$J:$J,0))</f>
        <v>222</v>
      </c>
      <c r="T513" s="278"/>
      <c r="U513" s="278"/>
      <c r="V513" s="278"/>
      <c r="W513" s="278"/>
    </row>
    <row r="514" spans="1:23" s="269" customFormat="1" ht="20.25">
      <c r="A514" s="267"/>
      <c r="B514" s="275" t="s">
        <v>2436</v>
      </c>
      <c r="C514" s="275" t="s">
        <v>3831</v>
      </c>
      <c r="D514" s="168" t="s">
        <v>5502</v>
      </c>
      <c r="E514" s="168" t="s">
        <v>2345</v>
      </c>
      <c r="F514" s="168" t="s">
        <v>4623</v>
      </c>
      <c r="G514" s="168" t="s">
        <v>4623</v>
      </c>
      <c r="H514" s="292" t="s">
        <v>3395</v>
      </c>
      <c r="I514" s="293" t="s">
        <v>4769</v>
      </c>
      <c r="J514" s="293" t="s">
        <v>4769</v>
      </c>
      <c r="K514" s="290" t="s">
        <v>4769</v>
      </c>
      <c r="L514" s="290" t="s">
        <v>5503</v>
      </c>
      <c r="M514" s="290" t="s">
        <v>4769</v>
      </c>
      <c r="N514" s="290" t="s">
        <v>4623</v>
      </c>
      <c r="O514" s="290" t="s">
        <v>4623</v>
      </c>
      <c r="P514" s="290" t="s">
        <v>999</v>
      </c>
      <c r="Q514" s="291" t="s">
        <v>4623</v>
      </c>
      <c r="R514" s="276"/>
      <c r="S514" s="277">
        <f>IF(OR(C514="",C514=T$4),NA(),MATCH($B514&amp;$C514,'Smelter Reference List'!$J:$J,0))</f>
        <v>222</v>
      </c>
      <c r="T514" s="278"/>
      <c r="U514" s="278"/>
      <c r="V514" s="278"/>
      <c r="W514" s="278"/>
    </row>
    <row r="515" spans="1:23" s="269" customFormat="1" ht="20.25">
      <c r="A515" s="267"/>
      <c r="B515" s="275" t="s">
        <v>2436</v>
      </c>
      <c r="C515" s="275" t="s">
        <v>3831</v>
      </c>
      <c r="D515" s="168" t="s">
        <v>5504</v>
      </c>
      <c r="E515" s="168" t="s">
        <v>2345</v>
      </c>
      <c r="F515" s="168" t="s">
        <v>4623</v>
      </c>
      <c r="G515" s="168" t="s">
        <v>4623</v>
      </c>
      <c r="H515" s="292" t="s">
        <v>4623</v>
      </c>
      <c r="I515" s="293" t="s">
        <v>4623</v>
      </c>
      <c r="J515" s="293" t="s">
        <v>4623</v>
      </c>
      <c r="K515" s="290" t="s">
        <v>4623</v>
      </c>
      <c r="L515" s="290" t="s">
        <v>4623</v>
      </c>
      <c r="M515" s="290" t="s">
        <v>4623</v>
      </c>
      <c r="N515" s="290" t="s">
        <v>4623</v>
      </c>
      <c r="O515" s="290" t="s">
        <v>4623</v>
      </c>
      <c r="P515" s="290" t="s">
        <v>999</v>
      </c>
      <c r="Q515" s="291" t="s">
        <v>4623</v>
      </c>
      <c r="R515" s="276"/>
      <c r="S515" s="277">
        <f>IF(OR(C515="",C515=T$4),NA(),MATCH($B515&amp;$C515,'Smelter Reference List'!$J:$J,0))</f>
        <v>222</v>
      </c>
      <c r="T515" s="278"/>
      <c r="U515" s="278"/>
      <c r="V515" s="278"/>
      <c r="W515" s="278"/>
    </row>
    <row r="516" spans="1:23" s="269" customFormat="1" ht="20.25">
      <c r="A516" s="267"/>
      <c r="B516" s="275" t="s">
        <v>2436</v>
      </c>
      <c r="C516" s="275" t="s">
        <v>3831</v>
      </c>
      <c r="D516" s="168" t="s">
        <v>5505</v>
      </c>
      <c r="E516" s="168" t="s">
        <v>2345</v>
      </c>
      <c r="F516" s="168" t="s">
        <v>4623</v>
      </c>
      <c r="G516" s="168" t="s">
        <v>4623</v>
      </c>
      <c r="H516" s="292" t="s">
        <v>4769</v>
      </c>
      <c r="I516" s="293" t="s">
        <v>4769</v>
      </c>
      <c r="J516" s="293" t="s">
        <v>5506</v>
      </c>
      <c r="K516" s="290" t="s">
        <v>5507</v>
      </c>
      <c r="L516" s="290" t="s">
        <v>4623</v>
      </c>
      <c r="M516" s="290" t="s">
        <v>3395</v>
      </c>
      <c r="N516" s="290" t="s">
        <v>3395</v>
      </c>
      <c r="O516" s="290" t="s">
        <v>5508</v>
      </c>
      <c r="P516" s="290" t="s">
        <v>999</v>
      </c>
      <c r="Q516" s="291" t="s">
        <v>4623</v>
      </c>
      <c r="R516" s="276"/>
      <c r="S516" s="277">
        <f>IF(OR(C516="",C516=T$4),NA(),MATCH($B516&amp;$C516,'Smelter Reference List'!$J:$J,0))</f>
        <v>222</v>
      </c>
      <c r="T516" s="278"/>
      <c r="U516" s="278"/>
      <c r="V516" s="278"/>
      <c r="W516" s="278"/>
    </row>
    <row r="517" spans="1:23" s="269" customFormat="1" ht="20.25">
      <c r="A517" s="267"/>
      <c r="B517" s="275" t="s">
        <v>2436</v>
      </c>
      <c r="C517" s="275" t="s">
        <v>3831</v>
      </c>
      <c r="D517" s="168" t="s">
        <v>5509</v>
      </c>
      <c r="E517" s="168" t="s">
        <v>2345</v>
      </c>
      <c r="F517" s="168" t="s">
        <v>4623</v>
      </c>
      <c r="G517" s="168" t="s">
        <v>4623</v>
      </c>
      <c r="H517" s="292" t="s">
        <v>4623</v>
      </c>
      <c r="I517" s="293" t="s">
        <v>4623</v>
      </c>
      <c r="J517" s="293" t="s">
        <v>4623</v>
      </c>
      <c r="K517" s="290" t="s">
        <v>4623</v>
      </c>
      <c r="L517" s="290" t="s">
        <v>4623</v>
      </c>
      <c r="M517" s="290" t="s">
        <v>4623</v>
      </c>
      <c r="N517" s="290" t="s">
        <v>4623</v>
      </c>
      <c r="O517" s="290" t="s">
        <v>4623</v>
      </c>
      <c r="P517" s="290" t="s">
        <v>999</v>
      </c>
      <c r="Q517" s="291" t="s">
        <v>4623</v>
      </c>
      <c r="R517" s="276"/>
      <c r="S517" s="277">
        <f>IF(OR(C517="",C517=T$4),NA(),MATCH($B517&amp;$C517,'Smelter Reference List'!$J:$J,0))</f>
        <v>222</v>
      </c>
      <c r="T517" s="278"/>
      <c r="U517" s="278"/>
      <c r="V517" s="278"/>
      <c r="W517" s="278"/>
    </row>
    <row r="518" spans="1:23" s="269" customFormat="1" ht="20.25">
      <c r="A518" s="267"/>
      <c r="B518" s="275" t="s">
        <v>2436</v>
      </c>
      <c r="C518" s="275" t="s">
        <v>3831</v>
      </c>
      <c r="D518" s="168" t="s">
        <v>5510</v>
      </c>
      <c r="E518" s="168" t="s">
        <v>2345</v>
      </c>
      <c r="F518" s="168" t="s">
        <v>4623</v>
      </c>
      <c r="G518" s="168" t="s">
        <v>4623</v>
      </c>
      <c r="H518" s="292" t="s">
        <v>4623</v>
      </c>
      <c r="I518" s="293" t="s">
        <v>4623</v>
      </c>
      <c r="J518" s="293" t="s">
        <v>4623</v>
      </c>
      <c r="K518" s="290" t="s">
        <v>4623</v>
      </c>
      <c r="L518" s="290" t="s">
        <v>4623</v>
      </c>
      <c r="M518" s="290" t="s">
        <v>4623</v>
      </c>
      <c r="N518" s="290" t="s">
        <v>4623</v>
      </c>
      <c r="O518" s="290" t="s">
        <v>4623</v>
      </c>
      <c r="P518" s="290" t="s">
        <v>999</v>
      </c>
      <c r="Q518" s="291" t="s">
        <v>4623</v>
      </c>
      <c r="R518" s="276"/>
      <c r="S518" s="277">
        <f>IF(OR(C518="",C518=T$4),NA(),MATCH($B518&amp;$C518,'Smelter Reference List'!$J:$J,0))</f>
        <v>222</v>
      </c>
      <c r="T518" s="278"/>
      <c r="U518" s="278"/>
      <c r="V518" s="278"/>
      <c r="W518" s="278"/>
    </row>
    <row r="519" spans="1:23" s="269" customFormat="1" ht="20.25">
      <c r="A519" s="267"/>
      <c r="B519" s="275" t="s">
        <v>2436</v>
      </c>
      <c r="C519" s="275" t="s">
        <v>3831</v>
      </c>
      <c r="D519" s="168" t="s">
        <v>5511</v>
      </c>
      <c r="E519" s="168" t="s">
        <v>2352</v>
      </c>
      <c r="F519" s="168" t="s">
        <v>4623</v>
      </c>
      <c r="G519" s="168" t="s">
        <v>4623</v>
      </c>
      <c r="H519" s="292" t="s">
        <v>4623</v>
      </c>
      <c r="I519" s="293" t="s">
        <v>4623</v>
      </c>
      <c r="J519" s="293" t="s">
        <v>4623</v>
      </c>
      <c r="K519" s="290" t="s">
        <v>4623</v>
      </c>
      <c r="L519" s="290" t="s">
        <v>4623</v>
      </c>
      <c r="M519" s="290" t="s">
        <v>4623</v>
      </c>
      <c r="N519" s="290" t="s">
        <v>4623</v>
      </c>
      <c r="O519" s="290" t="s">
        <v>4623</v>
      </c>
      <c r="P519" s="290" t="s">
        <v>999</v>
      </c>
      <c r="Q519" s="291" t="s">
        <v>4623</v>
      </c>
      <c r="R519" s="276"/>
      <c r="S519" s="277">
        <f>IF(OR(C519="",C519=T$4),NA(),MATCH($B519&amp;$C519,'Smelter Reference List'!$J:$J,0))</f>
        <v>222</v>
      </c>
      <c r="T519" s="278"/>
      <c r="U519" s="278"/>
      <c r="V519" s="278"/>
      <c r="W519" s="278"/>
    </row>
    <row r="520" spans="1:23" s="269" customFormat="1" ht="20.25">
      <c r="A520" s="267"/>
      <c r="B520" s="275" t="s">
        <v>2436</v>
      </c>
      <c r="C520" s="275" t="s">
        <v>3831</v>
      </c>
      <c r="D520" s="168" t="s">
        <v>5512</v>
      </c>
      <c r="E520" s="168" t="s">
        <v>2352</v>
      </c>
      <c r="F520" s="168" t="s">
        <v>4623</v>
      </c>
      <c r="G520" s="168" t="s">
        <v>4623</v>
      </c>
      <c r="H520" s="292" t="s">
        <v>4623</v>
      </c>
      <c r="I520" s="293" t="s">
        <v>4623</v>
      </c>
      <c r="J520" s="293" t="s">
        <v>4623</v>
      </c>
      <c r="K520" s="290" t="s">
        <v>4623</v>
      </c>
      <c r="L520" s="290" t="s">
        <v>4623</v>
      </c>
      <c r="M520" s="290" t="s">
        <v>4623</v>
      </c>
      <c r="N520" s="290" t="s">
        <v>4623</v>
      </c>
      <c r="O520" s="290" t="s">
        <v>4623</v>
      </c>
      <c r="P520" s="290" t="s">
        <v>999</v>
      </c>
      <c r="Q520" s="291" t="s">
        <v>4623</v>
      </c>
      <c r="R520" s="276"/>
      <c r="S520" s="277">
        <f>IF(OR(C520="",C520=T$4),NA(),MATCH($B520&amp;$C520,'Smelter Reference List'!$J:$J,0))</f>
        <v>222</v>
      </c>
      <c r="T520" s="278"/>
      <c r="U520" s="278"/>
      <c r="V520" s="278"/>
      <c r="W520" s="278"/>
    </row>
    <row r="521" spans="1:23" s="269" customFormat="1" ht="20.25">
      <c r="A521" s="267"/>
      <c r="B521" s="275" t="s">
        <v>2436</v>
      </c>
      <c r="C521" s="275" t="s">
        <v>3831</v>
      </c>
      <c r="D521" s="168" t="s">
        <v>5513</v>
      </c>
      <c r="E521" s="168" t="s">
        <v>2352</v>
      </c>
      <c r="F521" s="168" t="s">
        <v>4623</v>
      </c>
      <c r="G521" s="168" t="s">
        <v>4623</v>
      </c>
      <c r="H521" s="292" t="s">
        <v>4623</v>
      </c>
      <c r="I521" s="293" t="s">
        <v>4623</v>
      </c>
      <c r="J521" s="293" t="s">
        <v>4623</v>
      </c>
      <c r="K521" s="290" t="s">
        <v>4623</v>
      </c>
      <c r="L521" s="290" t="s">
        <v>4623</v>
      </c>
      <c r="M521" s="290" t="s">
        <v>4623</v>
      </c>
      <c r="N521" s="290" t="s">
        <v>4623</v>
      </c>
      <c r="O521" s="290" t="s">
        <v>4623</v>
      </c>
      <c r="P521" s="290" t="s">
        <v>999</v>
      </c>
      <c r="Q521" s="291" t="s">
        <v>4623</v>
      </c>
      <c r="R521" s="276"/>
      <c r="S521" s="277">
        <f>IF(OR(C521="",C521=T$4),NA(),MATCH($B521&amp;$C521,'Smelter Reference List'!$J:$J,0))</f>
        <v>222</v>
      </c>
      <c r="T521" s="278"/>
      <c r="U521" s="278"/>
      <c r="V521" s="278"/>
      <c r="W521" s="278"/>
    </row>
    <row r="522" spans="1:23" s="269" customFormat="1" ht="20.25">
      <c r="A522" s="267"/>
      <c r="B522" s="275" t="s">
        <v>2436</v>
      </c>
      <c r="C522" s="275" t="s">
        <v>3831</v>
      </c>
      <c r="D522" s="168" t="s">
        <v>5514</v>
      </c>
      <c r="E522" s="168" t="s">
        <v>2352</v>
      </c>
      <c r="F522" s="168" t="s">
        <v>4623</v>
      </c>
      <c r="G522" s="168" t="s">
        <v>4623</v>
      </c>
      <c r="H522" s="292" t="s">
        <v>4623</v>
      </c>
      <c r="I522" s="293" t="s">
        <v>4623</v>
      </c>
      <c r="J522" s="293" t="s">
        <v>4623</v>
      </c>
      <c r="K522" s="290" t="s">
        <v>4623</v>
      </c>
      <c r="L522" s="290" t="s">
        <v>4623</v>
      </c>
      <c r="M522" s="290" t="s">
        <v>4623</v>
      </c>
      <c r="N522" s="290" t="s">
        <v>4623</v>
      </c>
      <c r="O522" s="290" t="s">
        <v>4623</v>
      </c>
      <c r="P522" s="290" t="s">
        <v>999</v>
      </c>
      <c r="Q522" s="291" t="s">
        <v>4623</v>
      </c>
      <c r="R522" s="276"/>
      <c r="S522" s="277">
        <f>IF(OR(C522="",C522=T$4),NA(),MATCH($B522&amp;$C522,'Smelter Reference List'!$J:$J,0))</f>
        <v>222</v>
      </c>
      <c r="T522" s="278"/>
      <c r="U522" s="278"/>
      <c r="V522" s="278"/>
      <c r="W522" s="278"/>
    </row>
    <row r="523" spans="1:23" s="269" customFormat="1" ht="20.25">
      <c r="A523" s="267"/>
      <c r="B523" s="275" t="s">
        <v>2436</v>
      </c>
      <c r="C523" s="275" t="s">
        <v>3831</v>
      </c>
      <c r="D523" s="168" t="s">
        <v>5515</v>
      </c>
      <c r="E523" s="168" t="s">
        <v>2352</v>
      </c>
      <c r="F523" s="168" t="s">
        <v>4623</v>
      </c>
      <c r="G523" s="168" t="s">
        <v>4623</v>
      </c>
      <c r="H523" s="292" t="s">
        <v>4623</v>
      </c>
      <c r="I523" s="293" t="s">
        <v>4623</v>
      </c>
      <c r="J523" s="293" t="s">
        <v>4623</v>
      </c>
      <c r="K523" s="290" t="s">
        <v>4623</v>
      </c>
      <c r="L523" s="290" t="s">
        <v>4623</v>
      </c>
      <c r="M523" s="290" t="s">
        <v>4623</v>
      </c>
      <c r="N523" s="290" t="s">
        <v>4623</v>
      </c>
      <c r="O523" s="290" t="s">
        <v>4623</v>
      </c>
      <c r="P523" s="290" t="s">
        <v>999</v>
      </c>
      <c r="Q523" s="291" t="s">
        <v>4623</v>
      </c>
      <c r="R523" s="276"/>
      <c r="S523" s="277">
        <f>IF(OR(C523="",C523=T$4),NA(),MATCH($B523&amp;$C523,'Smelter Reference List'!$J:$J,0))</f>
        <v>222</v>
      </c>
      <c r="T523" s="278"/>
      <c r="U523" s="278"/>
      <c r="V523" s="278"/>
      <c r="W523" s="278"/>
    </row>
    <row r="524" spans="1:23" s="269" customFormat="1" ht="20.25">
      <c r="A524" s="267"/>
      <c r="B524" s="275" t="s">
        <v>2436</v>
      </c>
      <c r="C524" s="275" t="s">
        <v>3831</v>
      </c>
      <c r="D524" s="168" t="s">
        <v>5516</v>
      </c>
      <c r="E524" s="168" t="s">
        <v>2351</v>
      </c>
      <c r="F524" s="168" t="s">
        <v>4623</v>
      </c>
      <c r="G524" s="168" t="s">
        <v>4623</v>
      </c>
      <c r="H524" s="292" t="s">
        <v>4623</v>
      </c>
      <c r="I524" s="293" t="s">
        <v>4623</v>
      </c>
      <c r="J524" s="293" t="s">
        <v>4623</v>
      </c>
      <c r="K524" s="290" t="s">
        <v>4623</v>
      </c>
      <c r="L524" s="290" t="s">
        <v>4623</v>
      </c>
      <c r="M524" s="290" t="s">
        <v>4623</v>
      </c>
      <c r="N524" s="290" t="s">
        <v>4623</v>
      </c>
      <c r="O524" s="290" t="s">
        <v>4623</v>
      </c>
      <c r="P524" s="290" t="s">
        <v>999</v>
      </c>
      <c r="Q524" s="291" t="s">
        <v>4623</v>
      </c>
      <c r="R524" s="276"/>
      <c r="S524" s="277">
        <f>IF(OR(C524="",C524=T$4),NA(),MATCH($B524&amp;$C524,'Smelter Reference List'!$J:$J,0))</f>
        <v>222</v>
      </c>
      <c r="T524" s="278"/>
      <c r="U524" s="278"/>
      <c r="V524" s="278"/>
      <c r="W524" s="278"/>
    </row>
    <row r="525" spans="1:23" s="269" customFormat="1" ht="20.25">
      <c r="A525" s="267"/>
      <c r="B525" s="275" t="s">
        <v>2436</v>
      </c>
      <c r="C525" s="275" t="s">
        <v>3831</v>
      </c>
      <c r="D525" s="168" t="s">
        <v>5517</v>
      </c>
      <c r="E525" s="168" t="s">
        <v>2351</v>
      </c>
      <c r="F525" s="168" t="s">
        <v>4623</v>
      </c>
      <c r="G525" s="168" t="s">
        <v>4623</v>
      </c>
      <c r="H525" s="292" t="s">
        <v>4623</v>
      </c>
      <c r="I525" s="293" t="s">
        <v>4623</v>
      </c>
      <c r="J525" s="293" t="s">
        <v>4623</v>
      </c>
      <c r="K525" s="290" t="s">
        <v>4623</v>
      </c>
      <c r="L525" s="290" t="s">
        <v>4623</v>
      </c>
      <c r="M525" s="290" t="s">
        <v>4623</v>
      </c>
      <c r="N525" s="290" t="s">
        <v>4623</v>
      </c>
      <c r="O525" s="290" t="s">
        <v>4623</v>
      </c>
      <c r="P525" s="290" t="s">
        <v>999</v>
      </c>
      <c r="Q525" s="291" t="s">
        <v>4623</v>
      </c>
      <c r="R525" s="276"/>
      <c r="S525" s="277">
        <f>IF(OR(C525="",C525=T$4),NA(),MATCH($B525&amp;$C525,'Smelter Reference List'!$J:$J,0))</f>
        <v>222</v>
      </c>
      <c r="T525" s="278"/>
      <c r="U525" s="278"/>
      <c r="V525" s="278"/>
      <c r="W525" s="278"/>
    </row>
    <row r="526" spans="1:23" s="269" customFormat="1" ht="20.25">
      <c r="A526" s="267"/>
      <c r="B526" s="275" t="s">
        <v>2436</v>
      </c>
      <c r="C526" s="275" t="s">
        <v>3831</v>
      </c>
      <c r="D526" s="168" t="s">
        <v>5518</v>
      </c>
      <c r="E526" s="168" t="s">
        <v>2351</v>
      </c>
      <c r="F526" s="168" t="s">
        <v>4623</v>
      </c>
      <c r="G526" s="168" t="s">
        <v>4623</v>
      </c>
      <c r="H526" s="292" t="s">
        <v>4623</v>
      </c>
      <c r="I526" s="293" t="s">
        <v>4623</v>
      </c>
      <c r="J526" s="293" t="s">
        <v>4623</v>
      </c>
      <c r="K526" s="290" t="s">
        <v>4623</v>
      </c>
      <c r="L526" s="290" t="s">
        <v>4623</v>
      </c>
      <c r="M526" s="290" t="s">
        <v>4623</v>
      </c>
      <c r="N526" s="290" t="s">
        <v>4623</v>
      </c>
      <c r="O526" s="290" t="s">
        <v>4623</v>
      </c>
      <c r="P526" s="290" t="s">
        <v>999</v>
      </c>
      <c r="Q526" s="291" t="s">
        <v>4623</v>
      </c>
      <c r="R526" s="276"/>
      <c r="S526" s="277">
        <f>IF(OR(C526="",C526=T$4),NA(),MATCH($B526&amp;$C526,'Smelter Reference List'!$J:$J,0))</f>
        <v>222</v>
      </c>
      <c r="T526" s="278"/>
      <c r="U526" s="278"/>
      <c r="V526" s="278"/>
      <c r="W526" s="278"/>
    </row>
    <row r="527" spans="1:23" s="269" customFormat="1" ht="20.25">
      <c r="A527" s="267"/>
      <c r="B527" s="275" t="s">
        <v>2436</v>
      </c>
      <c r="C527" s="275" t="s">
        <v>3831</v>
      </c>
      <c r="D527" s="168" t="s">
        <v>4899</v>
      </c>
      <c r="E527" s="168" t="s">
        <v>2351</v>
      </c>
      <c r="F527" s="168" t="s">
        <v>4623</v>
      </c>
      <c r="G527" s="168" t="s">
        <v>4623</v>
      </c>
      <c r="H527" s="292" t="s">
        <v>4623</v>
      </c>
      <c r="I527" s="293" t="s">
        <v>4623</v>
      </c>
      <c r="J527" s="293" t="s">
        <v>4623</v>
      </c>
      <c r="K527" s="290" t="s">
        <v>4623</v>
      </c>
      <c r="L527" s="290" t="s">
        <v>4623</v>
      </c>
      <c r="M527" s="290" t="s">
        <v>4623</v>
      </c>
      <c r="N527" s="290" t="s">
        <v>4623</v>
      </c>
      <c r="O527" s="290" t="s">
        <v>4623</v>
      </c>
      <c r="P527" s="290" t="s">
        <v>999</v>
      </c>
      <c r="Q527" s="291" t="s">
        <v>4623</v>
      </c>
      <c r="R527" s="276"/>
      <c r="S527" s="277">
        <f>IF(OR(C527="",C527=T$4),NA(),MATCH($B527&amp;$C527,'Smelter Reference List'!$J:$J,0))</f>
        <v>222</v>
      </c>
      <c r="T527" s="278"/>
      <c r="U527" s="278"/>
      <c r="V527" s="278"/>
      <c r="W527" s="278"/>
    </row>
    <row r="528" spans="1:23" s="269" customFormat="1" ht="20.25">
      <c r="A528" s="267"/>
      <c r="B528" s="275" t="s">
        <v>2436</v>
      </c>
      <c r="C528" s="275" t="s">
        <v>3831</v>
      </c>
      <c r="D528" s="168" t="s">
        <v>5519</v>
      </c>
      <c r="E528" s="168" t="s">
        <v>2351</v>
      </c>
      <c r="F528" s="168" t="s">
        <v>4623</v>
      </c>
      <c r="G528" s="168" t="s">
        <v>4623</v>
      </c>
      <c r="H528" s="292" t="s">
        <v>5520</v>
      </c>
      <c r="I528" s="293" t="s">
        <v>5521</v>
      </c>
      <c r="J528" s="293" t="s">
        <v>3477</v>
      </c>
      <c r="K528" s="290" t="s">
        <v>4623</v>
      </c>
      <c r="L528" s="290" t="s">
        <v>5522</v>
      </c>
      <c r="M528" s="290" t="s">
        <v>4623</v>
      </c>
      <c r="N528" s="290" t="s">
        <v>5519</v>
      </c>
      <c r="O528" s="290" t="s">
        <v>4792</v>
      </c>
      <c r="P528" s="290" t="s">
        <v>999</v>
      </c>
      <c r="Q528" s="291" t="s">
        <v>4623</v>
      </c>
      <c r="R528" s="276"/>
      <c r="S528" s="277">
        <f>IF(OR(C528="",C528=T$4),NA(),MATCH($B528&amp;$C528,'Smelter Reference List'!$J:$J,0))</f>
        <v>222</v>
      </c>
      <c r="T528" s="278"/>
      <c r="U528" s="278"/>
      <c r="V528" s="278"/>
      <c r="W528" s="278"/>
    </row>
    <row r="529" spans="1:23" s="269" customFormat="1" ht="20.25">
      <c r="A529" s="267"/>
      <c r="B529" s="275" t="s">
        <v>2436</v>
      </c>
      <c r="C529" s="275" t="s">
        <v>3831</v>
      </c>
      <c r="D529" s="168" t="s">
        <v>3726</v>
      </c>
      <c r="E529" s="168" t="s">
        <v>2351</v>
      </c>
      <c r="F529" s="168" t="s">
        <v>4623</v>
      </c>
      <c r="G529" s="168" t="s">
        <v>4623</v>
      </c>
      <c r="H529" s="292" t="s">
        <v>4623</v>
      </c>
      <c r="I529" s="293" t="s">
        <v>4623</v>
      </c>
      <c r="J529" s="293" t="s">
        <v>4623</v>
      </c>
      <c r="K529" s="290" t="s">
        <v>4623</v>
      </c>
      <c r="L529" s="290" t="s">
        <v>4623</v>
      </c>
      <c r="M529" s="290" t="s">
        <v>4623</v>
      </c>
      <c r="N529" s="290" t="s">
        <v>4623</v>
      </c>
      <c r="O529" s="290" t="s">
        <v>4623</v>
      </c>
      <c r="P529" s="290" t="s">
        <v>999</v>
      </c>
      <c r="Q529" s="291" t="s">
        <v>4623</v>
      </c>
      <c r="R529" s="276"/>
      <c r="S529" s="277">
        <f>IF(OR(C529="",C529=T$4),NA(),MATCH($B529&amp;$C529,'Smelter Reference List'!$J:$J,0))</f>
        <v>222</v>
      </c>
      <c r="T529" s="278"/>
      <c r="U529" s="278"/>
      <c r="V529" s="278"/>
      <c r="W529" s="278"/>
    </row>
    <row r="530" spans="1:23" s="269" customFormat="1" ht="20.25">
      <c r="A530" s="267"/>
      <c r="B530" s="275" t="s">
        <v>2436</v>
      </c>
      <c r="C530" s="275" t="s">
        <v>3831</v>
      </c>
      <c r="D530" s="168" t="s">
        <v>5523</v>
      </c>
      <c r="E530" s="168" t="s">
        <v>2351</v>
      </c>
      <c r="F530" s="168" t="s">
        <v>4623</v>
      </c>
      <c r="G530" s="168" t="s">
        <v>4623</v>
      </c>
      <c r="H530" s="292" t="s">
        <v>4623</v>
      </c>
      <c r="I530" s="293" t="s">
        <v>4623</v>
      </c>
      <c r="J530" s="293" t="s">
        <v>4623</v>
      </c>
      <c r="K530" s="290" t="s">
        <v>4623</v>
      </c>
      <c r="L530" s="290" t="s">
        <v>4623</v>
      </c>
      <c r="M530" s="290" t="s">
        <v>4623</v>
      </c>
      <c r="N530" s="290" t="s">
        <v>4623</v>
      </c>
      <c r="O530" s="290" t="s">
        <v>4623</v>
      </c>
      <c r="P530" s="290" t="s">
        <v>999</v>
      </c>
      <c r="Q530" s="291" t="s">
        <v>4623</v>
      </c>
      <c r="R530" s="276"/>
      <c r="S530" s="277">
        <f>IF(OR(C530="",C530=T$4),NA(),MATCH($B530&amp;$C530,'Smelter Reference List'!$J:$J,0))</f>
        <v>222</v>
      </c>
      <c r="T530" s="278"/>
      <c r="U530" s="278"/>
      <c r="V530" s="278"/>
      <c r="W530" s="278"/>
    </row>
    <row r="531" spans="1:23" s="269" customFormat="1" ht="20.25">
      <c r="A531" s="267"/>
      <c r="B531" s="275" t="s">
        <v>2436</v>
      </c>
      <c r="C531" s="275" t="s">
        <v>3831</v>
      </c>
      <c r="D531" s="168" t="s">
        <v>4569</v>
      </c>
      <c r="E531" s="168" t="s">
        <v>2351</v>
      </c>
      <c r="F531" s="168" t="s">
        <v>4623</v>
      </c>
      <c r="G531" s="168" t="s">
        <v>4623</v>
      </c>
      <c r="H531" s="292" t="s">
        <v>5524</v>
      </c>
      <c r="I531" s="293" t="s">
        <v>5525</v>
      </c>
      <c r="J531" s="293" t="s">
        <v>5526</v>
      </c>
      <c r="K531" s="290" t="s">
        <v>4623</v>
      </c>
      <c r="L531" s="290" t="s">
        <v>5527</v>
      </c>
      <c r="M531" s="290" t="s">
        <v>4623</v>
      </c>
      <c r="N531" s="290" t="s">
        <v>4623</v>
      </c>
      <c r="O531" s="290" t="s">
        <v>4623</v>
      </c>
      <c r="P531" s="290" t="s">
        <v>999</v>
      </c>
      <c r="Q531" s="291" t="s">
        <v>4623</v>
      </c>
      <c r="R531" s="276"/>
      <c r="S531" s="277">
        <f>IF(OR(C531="",C531=T$4),NA(),MATCH($B531&amp;$C531,'Smelter Reference List'!$J:$J,0))</f>
        <v>222</v>
      </c>
      <c r="T531" s="278"/>
      <c r="U531" s="278"/>
      <c r="V531" s="278"/>
      <c r="W531" s="278"/>
    </row>
    <row r="532" spans="1:23" s="269" customFormat="1" ht="20.25">
      <c r="A532" s="267"/>
      <c r="B532" s="275" t="s">
        <v>2436</v>
      </c>
      <c r="C532" s="275" t="s">
        <v>3831</v>
      </c>
      <c r="D532" s="168" t="s">
        <v>5528</v>
      </c>
      <c r="E532" s="168" t="s">
        <v>2351</v>
      </c>
      <c r="F532" s="168" t="s">
        <v>4623</v>
      </c>
      <c r="G532" s="168" t="s">
        <v>4623</v>
      </c>
      <c r="H532" s="292" t="s">
        <v>4623</v>
      </c>
      <c r="I532" s="293" t="s">
        <v>4623</v>
      </c>
      <c r="J532" s="293" t="s">
        <v>4623</v>
      </c>
      <c r="K532" s="290" t="s">
        <v>4623</v>
      </c>
      <c r="L532" s="290" t="s">
        <v>4623</v>
      </c>
      <c r="M532" s="290" t="s">
        <v>4623</v>
      </c>
      <c r="N532" s="290" t="s">
        <v>4623</v>
      </c>
      <c r="O532" s="290" t="s">
        <v>4623</v>
      </c>
      <c r="P532" s="290" t="s">
        <v>999</v>
      </c>
      <c r="Q532" s="291" t="s">
        <v>4623</v>
      </c>
      <c r="R532" s="276"/>
      <c r="S532" s="277">
        <f>IF(OR(C532="",C532=T$4),NA(),MATCH($B532&amp;$C532,'Smelter Reference List'!$J:$J,0))</f>
        <v>222</v>
      </c>
      <c r="T532" s="278"/>
      <c r="U532" s="278"/>
      <c r="V532" s="278"/>
      <c r="W532" s="278"/>
    </row>
    <row r="533" spans="1:23" s="269" customFormat="1" ht="20.25">
      <c r="A533" s="267"/>
      <c r="B533" s="275" t="s">
        <v>2436</v>
      </c>
      <c r="C533" s="275" t="s">
        <v>3831</v>
      </c>
      <c r="D533" s="168" t="s">
        <v>5529</v>
      </c>
      <c r="E533" s="168" t="s">
        <v>2351</v>
      </c>
      <c r="F533" s="168" t="s">
        <v>4623</v>
      </c>
      <c r="G533" s="168" t="s">
        <v>4623</v>
      </c>
      <c r="H533" s="292" t="s">
        <v>5530</v>
      </c>
      <c r="I533" s="293" t="s">
        <v>3668</v>
      </c>
      <c r="J533" s="293" t="s">
        <v>5531</v>
      </c>
      <c r="K533" s="290" t="s">
        <v>4623</v>
      </c>
      <c r="L533" s="290" t="s">
        <v>4623</v>
      </c>
      <c r="M533" s="290" t="s">
        <v>4623</v>
      </c>
      <c r="N533" s="290" t="s">
        <v>4623</v>
      </c>
      <c r="O533" s="290" t="s">
        <v>4623</v>
      </c>
      <c r="P533" s="290" t="s">
        <v>999</v>
      </c>
      <c r="Q533" s="291" t="s">
        <v>4623</v>
      </c>
      <c r="R533" s="276"/>
      <c r="S533" s="277">
        <f>IF(OR(C533="",C533=T$4),NA(),MATCH($B533&amp;$C533,'Smelter Reference List'!$J:$J,0))</f>
        <v>222</v>
      </c>
      <c r="T533" s="278"/>
      <c r="U533" s="278"/>
      <c r="V533" s="278"/>
      <c r="W533" s="278"/>
    </row>
    <row r="534" spans="1:23" s="269" customFormat="1" ht="20.25">
      <c r="A534" s="267"/>
      <c r="B534" s="275" t="s">
        <v>2436</v>
      </c>
      <c r="C534" s="275" t="s">
        <v>3831</v>
      </c>
      <c r="D534" s="168" t="s">
        <v>5532</v>
      </c>
      <c r="E534" s="168" t="s">
        <v>2351</v>
      </c>
      <c r="F534" s="168" t="s">
        <v>4623</v>
      </c>
      <c r="G534" s="168" t="s">
        <v>4623</v>
      </c>
      <c r="H534" s="292" t="s">
        <v>5533</v>
      </c>
      <c r="I534" s="293" t="s">
        <v>5534</v>
      </c>
      <c r="J534" s="293" t="s">
        <v>5535</v>
      </c>
      <c r="K534" s="290" t="s">
        <v>4623</v>
      </c>
      <c r="L534" s="290" t="s">
        <v>5536</v>
      </c>
      <c r="M534" s="290" t="s">
        <v>5537</v>
      </c>
      <c r="N534" s="290" t="s">
        <v>5538</v>
      </c>
      <c r="O534" s="290" t="s">
        <v>5538</v>
      </c>
      <c r="P534" s="290" t="s">
        <v>999</v>
      </c>
      <c r="Q534" s="291" t="s">
        <v>4623</v>
      </c>
      <c r="R534" s="276"/>
      <c r="S534" s="277">
        <f>IF(OR(C534="",C534=T$4),NA(),MATCH($B534&amp;$C534,'Smelter Reference List'!$J:$J,0))</f>
        <v>222</v>
      </c>
      <c r="T534" s="278"/>
      <c r="U534" s="278"/>
      <c r="V534" s="278"/>
      <c r="W534" s="278"/>
    </row>
    <row r="535" spans="1:23" s="269" customFormat="1" ht="20.25">
      <c r="A535" s="267"/>
      <c r="B535" s="275" t="s">
        <v>2436</v>
      </c>
      <c r="C535" s="275" t="s">
        <v>3831</v>
      </c>
      <c r="D535" s="168" t="s">
        <v>5539</v>
      </c>
      <c r="E535" s="168" t="s">
        <v>2351</v>
      </c>
      <c r="F535" s="168" t="s">
        <v>4623</v>
      </c>
      <c r="G535" s="168" t="s">
        <v>4623</v>
      </c>
      <c r="H535" s="292" t="s">
        <v>5540</v>
      </c>
      <c r="I535" s="293" t="s">
        <v>5541</v>
      </c>
      <c r="J535" s="293" t="s">
        <v>5542</v>
      </c>
      <c r="K535" s="290" t="s">
        <v>4623</v>
      </c>
      <c r="L535" s="290" t="s">
        <v>4623</v>
      </c>
      <c r="M535" s="290" t="s">
        <v>4623</v>
      </c>
      <c r="N535" s="290" t="s">
        <v>4623</v>
      </c>
      <c r="O535" s="290" t="s">
        <v>4623</v>
      </c>
      <c r="P535" s="290" t="s">
        <v>999</v>
      </c>
      <c r="Q535" s="291" t="s">
        <v>4623</v>
      </c>
      <c r="R535" s="276"/>
      <c r="S535" s="277">
        <f>IF(OR(C535="",C535=T$4),NA(),MATCH($B535&amp;$C535,'Smelter Reference List'!$J:$J,0))</f>
        <v>222</v>
      </c>
      <c r="T535" s="278"/>
      <c r="U535" s="278"/>
      <c r="V535" s="278"/>
      <c r="W535" s="278"/>
    </row>
    <row r="536" spans="1:23" s="269" customFormat="1" ht="20.25">
      <c r="A536" s="267"/>
      <c r="B536" s="275" t="s">
        <v>2436</v>
      </c>
      <c r="C536" s="275" t="s">
        <v>3831</v>
      </c>
      <c r="D536" s="168" t="s">
        <v>5543</v>
      </c>
      <c r="E536" s="168" t="s">
        <v>2351</v>
      </c>
      <c r="F536" s="168" t="s">
        <v>4623</v>
      </c>
      <c r="G536" s="168" t="s">
        <v>4623</v>
      </c>
      <c r="H536" s="292" t="s">
        <v>5544</v>
      </c>
      <c r="I536" s="293" t="s">
        <v>5545</v>
      </c>
      <c r="J536" s="293" t="s">
        <v>4623</v>
      </c>
      <c r="K536" s="290" t="s">
        <v>4623</v>
      </c>
      <c r="L536" s="290" t="s">
        <v>5033</v>
      </c>
      <c r="M536" s="290" t="s">
        <v>4623</v>
      </c>
      <c r="N536" s="290" t="s">
        <v>4623</v>
      </c>
      <c r="O536" s="290" t="s">
        <v>4623</v>
      </c>
      <c r="P536" s="290" t="s">
        <v>999</v>
      </c>
      <c r="Q536" s="291" t="s">
        <v>4623</v>
      </c>
      <c r="R536" s="276"/>
      <c r="S536" s="277">
        <f>IF(OR(C536="",C536=T$4),NA(),MATCH($B536&amp;$C536,'Smelter Reference List'!$J:$J,0))</f>
        <v>222</v>
      </c>
      <c r="T536" s="278"/>
      <c r="U536" s="278"/>
      <c r="V536" s="278"/>
      <c r="W536" s="278"/>
    </row>
    <row r="537" spans="1:23" s="269" customFormat="1" ht="20.25">
      <c r="A537" s="267"/>
      <c r="B537" s="275" t="s">
        <v>2436</v>
      </c>
      <c r="C537" s="275" t="s">
        <v>3831</v>
      </c>
      <c r="D537" s="168" t="s">
        <v>5546</v>
      </c>
      <c r="E537" s="168" t="s">
        <v>2351</v>
      </c>
      <c r="F537" s="168" t="s">
        <v>4623</v>
      </c>
      <c r="G537" s="168" t="s">
        <v>4623</v>
      </c>
      <c r="H537" s="292" t="s">
        <v>4623</v>
      </c>
      <c r="I537" s="293" t="s">
        <v>4623</v>
      </c>
      <c r="J537" s="293" t="s">
        <v>4623</v>
      </c>
      <c r="K537" s="290" t="s">
        <v>4623</v>
      </c>
      <c r="L537" s="290" t="s">
        <v>4623</v>
      </c>
      <c r="M537" s="290" t="s">
        <v>4623</v>
      </c>
      <c r="N537" s="290" t="s">
        <v>4623</v>
      </c>
      <c r="O537" s="290" t="s">
        <v>4623</v>
      </c>
      <c r="P537" s="290" t="s">
        <v>999</v>
      </c>
      <c r="Q537" s="291" t="s">
        <v>4623</v>
      </c>
      <c r="R537" s="276"/>
      <c r="S537" s="277">
        <f>IF(OR(C537="",C537=T$4),NA(),MATCH($B537&amp;$C537,'Smelter Reference List'!$J:$J,0))</f>
        <v>222</v>
      </c>
      <c r="T537" s="278"/>
      <c r="U537" s="278"/>
      <c r="V537" s="278"/>
      <c r="W537" s="278"/>
    </row>
    <row r="538" spans="1:23" s="269" customFormat="1" ht="20.25">
      <c r="A538" s="267"/>
      <c r="B538" s="275" t="s">
        <v>2436</v>
      </c>
      <c r="C538" s="275" t="s">
        <v>3831</v>
      </c>
      <c r="D538" s="168" t="s">
        <v>5547</v>
      </c>
      <c r="E538" s="168" t="s">
        <v>2351</v>
      </c>
      <c r="F538" s="168" t="s">
        <v>4623</v>
      </c>
      <c r="G538" s="168" t="s">
        <v>4623</v>
      </c>
      <c r="H538" s="292" t="s">
        <v>5548</v>
      </c>
      <c r="I538" s="293" t="s">
        <v>3672</v>
      </c>
      <c r="J538" s="293" t="s">
        <v>3669</v>
      </c>
      <c r="K538" s="290" t="s">
        <v>4623</v>
      </c>
      <c r="L538" s="290" t="s">
        <v>5549</v>
      </c>
      <c r="M538" s="290" t="s">
        <v>4623</v>
      </c>
      <c r="N538" s="290" t="s">
        <v>4792</v>
      </c>
      <c r="O538" s="290" t="s">
        <v>4623</v>
      </c>
      <c r="P538" s="290" t="s">
        <v>999</v>
      </c>
      <c r="Q538" s="291" t="s">
        <v>4623</v>
      </c>
      <c r="R538" s="276"/>
      <c r="S538" s="277">
        <f>IF(OR(C538="",C538=T$4),NA(),MATCH($B538&amp;$C538,'Smelter Reference List'!$J:$J,0))</f>
        <v>222</v>
      </c>
      <c r="T538" s="278"/>
      <c r="U538" s="278"/>
      <c r="V538" s="278"/>
      <c r="W538" s="278"/>
    </row>
    <row r="539" spans="1:23" s="269" customFormat="1" ht="20.25">
      <c r="A539" s="267"/>
      <c r="B539" s="275" t="s">
        <v>2436</v>
      </c>
      <c r="C539" s="275" t="s">
        <v>3831</v>
      </c>
      <c r="D539" s="168" t="s">
        <v>5550</v>
      </c>
      <c r="E539" s="168" t="s">
        <v>2351</v>
      </c>
      <c r="F539" s="168" t="s">
        <v>4623</v>
      </c>
      <c r="G539" s="168" t="s">
        <v>4623</v>
      </c>
      <c r="H539" s="292" t="s">
        <v>5551</v>
      </c>
      <c r="I539" s="293" t="s">
        <v>5552</v>
      </c>
      <c r="J539" s="293" t="s">
        <v>5553</v>
      </c>
      <c r="K539" s="290" t="s">
        <v>4623</v>
      </c>
      <c r="L539" s="290" t="s">
        <v>5033</v>
      </c>
      <c r="M539" s="290" t="s">
        <v>4623</v>
      </c>
      <c r="N539" s="290" t="s">
        <v>4623</v>
      </c>
      <c r="O539" s="290" t="s">
        <v>4623</v>
      </c>
      <c r="P539" s="290" t="s">
        <v>999</v>
      </c>
      <c r="Q539" s="291" t="s">
        <v>4623</v>
      </c>
      <c r="R539" s="276"/>
      <c r="S539" s="277">
        <f>IF(OR(C539="",C539=T$4),NA(),MATCH($B539&amp;$C539,'Smelter Reference List'!$J:$J,0))</f>
        <v>222</v>
      </c>
      <c r="T539" s="278"/>
      <c r="U539" s="278"/>
      <c r="V539" s="278"/>
      <c r="W539" s="278"/>
    </row>
    <row r="540" spans="1:23" s="269" customFormat="1" ht="20.25">
      <c r="A540" s="267"/>
      <c r="B540" s="275" t="s">
        <v>2436</v>
      </c>
      <c r="C540" s="275" t="s">
        <v>3831</v>
      </c>
      <c r="D540" s="168" t="s">
        <v>5554</v>
      </c>
      <c r="E540" s="168" t="s">
        <v>2351</v>
      </c>
      <c r="F540" s="168" t="s">
        <v>4623</v>
      </c>
      <c r="G540" s="168" t="s">
        <v>4623</v>
      </c>
      <c r="H540" s="292" t="s">
        <v>4623</v>
      </c>
      <c r="I540" s="293" t="s">
        <v>4623</v>
      </c>
      <c r="J540" s="293" t="s">
        <v>4623</v>
      </c>
      <c r="K540" s="290" t="s">
        <v>4623</v>
      </c>
      <c r="L540" s="290" t="s">
        <v>5033</v>
      </c>
      <c r="M540" s="290" t="s">
        <v>4623</v>
      </c>
      <c r="N540" s="290" t="s">
        <v>4623</v>
      </c>
      <c r="O540" s="290" t="s">
        <v>4623</v>
      </c>
      <c r="P540" s="290" t="s">
        <v>999</v>
      </c>
      <c r="Q540" s="291" t="s">
        <v>4623</v>
      </c>
      <c r="R540" s="276"/>
      <c r="S540" s="277">
        <f>IF(OR(C540="",C540=T$4),NA(),MATCH($B540&amp;$C540,'Smelter Reference List'!$J:$J,0))</f>
        <v>222</v>
      </c>
      <c r="T540" s="278"/>
      <c r="U540" s="278"/>
      <c r="V540" s="278"/>
      <c r="W540" s="278"/>
    </row>
    <row r="541" spans="1:23" s="269" customFormat="1" ht="20.25">
      <c r="A541" s="267"/>
      <c r="B541" s="275" t="s">
        <v>2436</v>
      </c>
      <c r="C541" s="275" t="s">
        <v>3831</v>
      </c>
      <c r="D541" s="168" t="s">
        <v>5555</v>
      </c>
      <c r="E541" s="168" t="s">
        <v>2351</v>
      </c>
      <c r="F541" s="168" t="s">
        <v>4623</v>
      </c>
      <c r="G541" s="168" t="s">
        <v>4623</v>
      </c>
      <c r="H541" s="292" t="s">
        <v>5556</v>
      </c>
      <c r="I541" s="293" t="s">
        <v>5557</v>
      </c>
      <c r="J541" s="293" t="s">
        <v>5558</v>
      </c>
      <c r="K541" s="290" t="s">
        <v>4623</v>
      </c>
      <c r="L541" s="290" t="s">
        <v>5033</v>
      </c>
      <c r="M541" s="290" t="s">
        <v>4623</v>
      </c>
      <c r="N541" s="290" t="s">
        <v>4623</v>
      </c>
      <c r="O541" s="290" t="s">
        <v>4623</v>
      </c>
      <c r="P541" s="290" t="s">
        <v>999</v>
      </c>
      <c r="Q541" s="291" t="s">
        <v>4623</v>
      </c>
      <c r="R541" s="276"/>
      <c r="S541" s="277">
        <f>IF(OR(C541="",C541=T$4),NA(),MATCH($B541&amp;$C541,'Smelter Reference List'!$J:$J,0))</f>
        <v>222</v>
      </c>
      <c r="T541" s="278"/>
      <c r="U541" s="278"/>
      <c r="V541" s="278"/>
      <c r="W541" s="278"/>
    </row>
    <row r="542" spans="1:23" s="269" customFormat="1" ht="20.25">
      <c r="A542" s="267"/>
      <c r="B542" s="275" t="s">
        <v>2436</v>
      </c>
      <c r="C542" s="275" t="s">
        <v>3831</v>
      </c>
      <c r="D542" s="168" t="s">
        <v>5559</v>
      </c>
      <c r="E542" s="168" t="s">
        <v>2351</v>
      </c>
      <c r="F542" s="168" t="s">
        <v>4623</v>
      </c>
      <c r="G542" s="168" t="s">
        <v>4623</v>
      </c>
      <c r="H542" s="292" t="s">
        <v>5560</v>
      </c>
      <c r="I542" s="293" t="s">
        <v>5561</v>
      </c>
      <c r="J542" s="293" t="s">
        <v>5562</v>
      </c>
      <c r="K542" s="290" t="s">
        <v>4623</v>
      </c>
      <c r="L542" s="290" t="s">
        <v>4623</v>
      </c>
      <c r="M542" s="290" t="s">
        <v>4623</v>
      </c>
      <c r="N542" s="290" t="s">
        <v>4623</v>
      </c>
      <c r="O542" s="290" t="s">
        <v>4623</v>
      </c>
      <c r="P542" s="290" t="s">
        <v>999</v>
      </c>
      <c r="Q542" s="291" t="s">
        <v>4623</v>
      </c>
      <c r="R542" s="276"/>
      <c r="S542" s="277">
        <f>IF(OR(C542="",C542=T$4),NA(),MATCH($B542&amp;$C542,'Smelter Reference List'!$J:$J,0))</f>
        <v>222</v>
      </c>
      <c r="T542" s="278"/>
      <c r="U542" s="278"/>
      <c r="V542" s="278"/>
      <c r="W542" s="278"/>
    </row>
    <row r="543" spans="1:23" s="269" customFormat="1" ht="20.25">
      <c r="A543" s="267"/>
      <c r="B543" s="275" t="s">
        <v>2436</v>
      </c>
      <c r="C543" s="275" t="s">
        <v>3831</v>
      </c>
      <c r="D543" s="168" t="s">
        <v>5563</v>
      </c>
      <c r="E543" s="168" t="s">
        <v>2351</v>
      </c>
      <c r="F543" s="168" t="s">
        <v>4623</v>
      </c>
      <c r="G543" s="168" t="s">
        <v>4623</v>
      </c>
      <c r="H543" s="292" t="s">
        <v>4623</v>
      </c>
      <c r="I543" s="293" t="s">
        <v>4623</v>
      </c>
      <c r="J543" s="293" t="s">
        <v>4623</v>
      </c>
      <c r="K543" s="290" t="s">
        <v>4623</v>
      </c>
      <c r="L543" s="290" t="s">
        <v>4623</v>
      </c>
      <c r="M543" s="290" t="s">
        <v>4623</v>
      </c>
      <c r="N543" s="290" t="s">
        <v>4623</v>
      </c>
      <c r="O543" s="290" t="s">
        <v>4623</v>
      </c>
      <c r="P543" s="290" t="s">
        <v>999</v>
      </c>
      <c r="Q543" s="291" t="s">
        <v>4623</v>
      </c>
      <c r="R543" s="276"/>
      <c r="S543" s="277">
        <f>IF(OR(C543="",C543=T$4),NA(),MATCH($B543&amp;$C543,'Smelter Reference List'!$J:$J,0))</f>
        <v>222</v>
      </c>
      <c r="T543" s="278"/>
      <c r="U543" s="278"/>
      <c r="V543" s="278"/>
      <c r="W543" s="278"/>
    </row>
    <row r="544" spans="1:23" s="269" customFormat="1" ht="20.25">
      <c r="A544" s="267"/>
      <c r="B544" s="275" t="s">
        <v>2436</v>
      </c>
      <c r="C544" s="275" t="s">
        <v>3831</v>
      </c>
      <c r="D544" s="168" t="s">
        <v>5564</v>
      </c>
      <c r="E544" s="168" t="s">
        <v>2351</v>
      </c>
      <c r="F544" s="168" t="s">
        <v>4623</v>
      </c>
      <c r="G544" s="168" t="s">
        <v>4623</v>
      </c>
      <c r="H544" s="292" t="s">
        <v>5565</v>
      </c>
      <c r="I544" s="293" t="s">
        <v>5566</v>
      </c>
      <c r="J544" s="293" t="s">
        <v>5521</v>
      </c>
      <c r="K544" s="290" t="s">
        <v>4623</v>
      </c>
      <c r="L544" s="290" t="s">
        <v>5033</v>
      </c>
      <c r="M544" s="290" t="s">
        <v>4623</v>
      </c>
      <c r="N544" s="290" t="s">
        <v>4623</v>
      </c>
      <c r="O544" s="290" t="s">
        <v>4623</v>
      </c>
      <c r="P544" s="290" t="s">
        <v>999</v>
      </c>
      <c r="Q544" s="291" t="s">
        <v>4623</v>
      </c>
      <c r="R544" s="276"/>
      <c r="S544" s="277">
        <f>IF(OR(C544="",C544=T$4),NA(),MATCH($B544&amp;$C544,'Smelter Reference List'!$J:$J,0))</f>
        <v>222</v>
      </c>
      <c r="T544" s="278"/>
      <c r="U544" s="278"/>
      <c r="V544" s="278"/>
      <c r="W544" s="278"/>
    </row>
    <row r="545" spans="1:23" s="269" customFormat="1" ht="20.25">
      <c r="A545" s="267"/>
      <c r="B545" s="275" t="s">
        <v>2436</v>
      </c>
      <c r="C545" s="275" t="s">
        <v>3831</v>
      </c>
      <c r="D545" s="168" t="s">
        <v>5567</v>
      </c>
      <c r="E545" s="168" t="s">
        <v>2351</v>
      </c>
      <c r="F545" s="168" t="s">
        <v>4623</v>
      </c>
      <c r="G545" s="168" t="s">
        <v>4623</v>
      </c>
      <c r="H545" s="292" t="s">
        <v>4623</v>
      </c>
      <c r="I545" s="293" t="s">
        <v>4623</v>
      </c>
      <c r="J545" s="293" t="s">
        <v>4623</v>
      </c>
      <c r="K545" s="290" t="s">
        <v>4623</v>
      </c>
      <c r="L545" s="290" t="s">
        <v>4623</v>
      </c>
      <c r="M545" s="290" t="s">
        <v>4623</v>
      </c>
      <c r="N545" s="290" t="s">
        <v>4623</v>
      </c>
      <c r="O545" s="290" t="s">
        <v>4623</v>
      </c>
      <c r="P545" s="290" t="s">
        <v>999</v>
      </c>
      <c r="Q545" s="291" t="s">
        <v>4623</v>
      </c>
      <c r="R545" s="276"/>
      <c r="S545" s="277">
        <f>IF(OR(C545="",C545=T$4),NA(),MATCH($B545&amp;$C545,'Smelter Reference List'!$J:$J,0))</f>
        <v>222</v>
      </c>
      <c r="T545" s="278"/>
      <c r="U545" s="278"/>
      <c r="V545" s="278"/>
      <c r="W545" s="278"/>
    </row>
    <row r="546" spans="1:23" s="269" customFormat="1" ht="20.25">
      <c r="A546" s="267"/>
      <c r="B546" s="275" t="s">
        <v>2436</v>
      </c>
      <c r="C546" s="275" t="s">
        <v>3831</v>
      </c>
      <c r="D546" s="168" t="s">
        <v>5568</v>
      </c>
      <c r="E546" s="168" t="s">
        <v>2351</v>
      </c>
      <c r="F546" s="168" t="s">
        <v>4623</v>
      </c>
      <c r="G546" s="168" t="s">
        <v>4623</v>
      </c>
      <c r="H546" s="292" t="s">
        <v>5569</v>
      </c>
      <c r="I546" s="293" t="s">
        <v>5570</v>
      </c>
      <c r="J546" s="293" t="s">
        <v>5535</v>
      </c>
      <c r="K546" s="290" t="s">
        <v>4623</v>
      </c>
      <c r="L546" s="290" t="s">
        <v>4623</v>
      </c>
      <c r="M546" s="290" t="s">
        <v>4623</v>
      </c>
      <c r="N546" s="290" t="s">
        <v>4623</v>
      </c>
      <c r="O546" s="290" t="s">
        <v>4623</v>
      </c>
      <c r="P546" s="290" t="s">
        <v>999</v>
      </c>
      <c r="Q546" s="291" t="s">
        <v>4623</v>
      </c>
      <c r="R546" s="276"/>
      <c r="S546" s="277">
        <f>IF(OR(C546="",C546=T$4),NA(),MATCH($B546&amp;$C546,'Smelter Reference List'!$J:$J,0))</f>
        <v>222</v>
      </c>
      <c r="T546" s="278"/>
      <c r="U546" s="278"/>
      <c r="V546" s="278"/>
      <c r="W546" s="278"/>
    </row>
    <row r="547" spans="1:23" s="269" customFormat="1" ht="20.25">
      <c r="A547" s="267"/>
      <c r="B547" s="275" t="s">
        <v>2436</v>
      </c>
      <c r="C547" s="275" t="s">
        <v>3831</v>
      </c>
      <c r="D547" s="168" t="s">
        <v>5571</v>
      </c>
      <c r="E547" s="168" t="s">
        <v>2351</v>
      </c>
      <c r="F547" s="168" t="s">
        <v>4623</v>
      </c>
      <c r="G547" s="168" t="s">
        <v>4623</v>
      </c>
      <c r="H547" s="292" t="s">
        <v>5572</v>
      </c>
      <c r="I547" s="293" t="s">
        <v>5573</v>
      </c>
      <c r="J547" s="293" t="s">
        <v>5574</v>
      </c>
      <c r="K547" s="290" t="s">
        <v>4623</v>
      </c>
      <c r="L547" s="290" t="s">
        <v>5033</v>
      </c>
      <c r="M547" s="290" t="s">
        <v>4623</v>
      </c>
      <c r="N547" s="290" t="s">
        <v>4623</v>
      </c>
      <c r="O547" s="290" t="s">
        <v>4623</v>
      </c>
      <c r="P547" s="290" t="s">
        <v>999</v>
      </c>
      <c r="Q547" s="291" t="s">
        <v>4623</v>
      </c>
      <c r="R547" s="276"/>
      <c r="S547" s="277">
        <f>IF(OR(C547="",C547=T$4),NA(),MATCH($B547&amp;$C547,'Smelter Reference List'!$J:$J,0))</f>
        <v>222</v>
      </c>
      <c r="T547" s="278"/>
      <c r="U547" s="278"/>
      <c r="V547" s="278"/>
      <c r="W547" s="278"/>
    </row>
    <row r="548" spans="1:23" s="269" customFormat="1" ht="20.25">
      <c r="A548" s="267"/>
      <c r="B548" s="275" t="s">
        <v>2436</v>
      </c>
      <c r="C548" s="275" t="s">
        <v>3831</v>
      </c>
      <c r="D548" s="168" t="s">
        <v>5575</v>
      </c>
      <c r="E548" s="168" t="s">
        <v>2351</v>
      </c>
      <c r="F548" s="168" t="s">
        <v>4623</v>
      </c>
      <c r="G548" s="168" t="s">
        <v>4623</v>
      </c>
      <c r="H548" s="292" t="s">
        <v>5548</v>
      </c>
      <c r="I548" s="293" t="s">
        <v>3672</v>
      </c>
      <c r="J548" s="293" t="s">
        <v>3669</v>
      </c>
      <c r="K548" s="290" t="s">
        <v>4623</v>
      </c>
      <c r="L548" s="290" t="s">
        <v>5549</v>
      </c>
      <c r="M548" s="290" t="s">
        <v>4623</v>
      </c>
      <c r="N548" s="290" t="s">
        <v>4671</v>
      </c>
      <c r="O548" s="290" t="s">
        <v>4671</v>
      </c>
      <c r="P548" s="290" t="s">
        <v>999</v>
      </c>
      <c r="Q548" s="291" t="s">
        <v>4623</v>
      </c>
      <c r="R548" s="276"/>
      <c r="S548" s="277">
        <f>IF(OR(C548="",C548=T$4),NA(),MATCH($B548&amp;$C548,'Smelter Reference List'!$J:$J,0))</f>
        <v>222</v>
      </c>
      <c r="T548" s="278"/>
      <c r="U548" s="278"/>
      <c r="V548" s="278"/>
      <c r="W548" s="278"/>
    </row>
    <row r="549" spans="1:23" s="269" customFormat="1" ht="20.25">
      <c r="A549" s="267"/>
      <c r="B549" s="275" t="s">
        <v>2436</v>
      </c>
      <c r="C549" s="275" t="s">
        <v>3831</v>
      </c>
      <c r="D549" s="168" t="s">
        <v>5576</v>
      </c>
      <c r="E549" s="168" t="s">
        <v>2351</v>
      </c>
      <c r="F549" s="168" t="s">
        <v>4623</v>
      </c>
      <c r="G549" s="168" t="s">
        <v>4623</v>
      </c>
      <c r="H549" s="292" t="s">
        <v>5577</v>
      </c>
      <c r="I549" s="293" t="s">
        <v>5578</v>
      </c>
      <c r="J549" s="293" t="s">
        <v>5579</v>
      </c>
      <c r="K549" s="290" t="s">
        <v>4623</v>
      </c>
      <c r="L549" s="290" t="s">
        <v>5033</v>
      </c>
      <c r="M549" s="290" t="s">
        <v>4623</v>
      </c>
      <c r="N549" s="290" t="s">
        <v>4623</v>
      </c>
      <c r="O549" s="290" t="s">
        <v>4623</v>
      </c>
      <c r="P549" s="290" t="s">
        <v>999</v>
      </c>
      <c r="Q549" s="291" t="s">
        <v>4623</v>
      </c>
      <c r="R549" s="276"/>
      <c r="S549" s="277">
        <f>IF(OR(C549="",C549=T$4),NA(),MATCH($B549&amp;$C549,'Smelter Reference List'!$J:$J,0))</f>
        <v>222</v>
      </c>
      <c r="T549" s="278"/>
      <c r="U549" s="278"/>
      <c r="V549" s="278"/>
      <c r="W549" s="278"/>
    </row>
    <row r="550" spans="1:23" s="269" customFormat="1" ht="20.25">
      <c r="A550" s="267"/>
      <c r="B550" s="275" t="s">
        <v>2436</v>
      </c>
      <c r="C550" s="275" t="s">
        <v>3831</v>
      </c>
      <c r="D550" s="168" t="s">
        <v>5580</v>
      </c>
      <c r="E550" s="168" t="s">
        <v>2351</v>
      </c>
      <c r="F550" s="168" t="s">
        <v>4623</v>
      </c>
      <c r="G550" s="168" t="s">
        <v>4623</v>
      </c>
      <c r="H550" s="292" t="s">
        <v>5581</v>
      </c>
      <c r="I550" s="293" t="s">
        <v>5582</v>
      </c>
      <c r="J550" s="293" t="s">
        <v>3669</v>
      </c>
      <c r="K550" s="290" t="s">
        <v>4623</v>
      </c>
      <c r="L550" s="290" t="s">
        <v>5583</v>
      </c>
      <c r="M550" s="290" t="s">
        <v>4623</v>
      </c>
      <c r="N550" s="290" t="s">
        <v>5584</v>
      </c>
      <c r="O550" s="290" t="s">
        <v>4623</v>
      </c>
      <c r="P550" s="290" t="s">
        <v>999</v>
      </c>
      <c r="Q550" s="291" t="s">
        <v>4623</v>
      </c>
      <c r="R550" s="276"/>
      <c r="S550" s="277">
        <f>IF(OR(C550="",C550=T$4),NA(),MATCH($B550&amp;$C550,'Smelter Reference List'!$J:$J,0))</f>
        <v>222</v>
      </c>
      <c r="T550" s="278"/>
      <c r="U550" s="278"/>
      <c r="V550" s="278"/>
      <c r="W550" s="278"/>
    </row>
    <row r="551" spans="1:23" s="269" customFormat="1" ht="20.25">
      <c r="A551" s="267"/>
      <c r="B551" s="275" t="s">
        <v>2436</v>
      </c>
      <c r="C551" s="275" t="s">
        <v>3831</v>
      </c>
      <c r="D551" s="168" t="s">
        <v>5585</v>
      </c>
      <c r="E551" s="168" t="s">
        <v>2351</v>
      </c>
      <c r="F551" s="168" t="s">
        <v>4623</v>
      </c>
      <c r="G551" s="168" t="s">
        <v>4623</v>
      </c>
      <c r="H551" s="292" t="s">
        <v>5586</v>
      </c>
      <c r="I551" s="293" t="s">
        <v>5587</v>
      </c>
      <c r="J551" s="293" t="s">
        <v>5588</v>
      </c>
      <c r="K551" s="290" t="s">
        <v>4623</v>
      </c>
      <c r="L551" s="290" t="s">
        <v>5589</v>
      </c>
      <c r="M551" s="290" t="s">
        <v>4623</v>
      </c>
      <c r="N551" s="290" t="s">
        <v>4623</v>
      </c>
      <c r="O551" s="290" t="s">
        <v>4623</v>
      </c>
      <c r="P551" s="290" t="s">
        <v>999</v>
      </c>
      <c r="Q551" s="291" t="s">
        <v>4623</v>
      </c>
      <c r="R551" s="276"/>
      <c r="S551" s="277">
        <f>IF(OR(C551="",C551=T$4),NA(),MATCH($B551&amp;$C551,'Smelter Reference List'!$J:$J,0))</f>
        <v>222</v>
      </c>
      <c r="T551" s="278"/>
      <c r="U551" s="278"/>
      <c r="V551" s="278"/>
      <c r="W551" s="278"/>
    </row>
    <row r="552" spans="1:23" s="269" customFormat="1" ht="20.25">
      <c r="A552" s="267"/>
      <c r="B552" s="275" t="s">
        <v>2436</v>
      </c>
      <c r="C552" s="275" t="s">
        <v>3831</v>
      </c>
      <c r="D552" s="168" t="s">
        <v>5590</v>
      </c>
      <c r="E552" s="168" t="s">
        <v>2351</v>
      </c>
      <c r="F552" s="168" t="s">
        <v>4623</v>
      </c>
      <c r="G552" s="168" t="s">
        <v>4623</v>
      </c>
      <c r="H552" s="292" t="s">
        <v>5591</v>
      </c>
      <c r="I552" s="293" t="s">
        <v>5592</v>
      </c>
      <c r="J552" s="293" t="s">
        <v>5593</v>
      </c>
      <c r="K552" s="290" t="s">
        <v>4623</v>
      </c>
      <c r="L552" s="290" t="s">
        <v>5033</v>
      </c>
      <c r="M552" s="290" t="s">
        <v>4623</v>
      </c>
      <c r="N552" s="290" t="s">
        <v>4623</v>
      </c>
      <c r="O552" s="290" t="s">
        <v>4623</v>
      </c>
      <c r="P552" s="290" t="s">
        <v>999</v>
      </c>
      <c r="Q552" s="291" t="s">
        <v>4623</v>
      </c>
      <c r="R552" s="276"/>
      <c r="S552" s="277">
        <f>IF(OR(C552="",C552=T$4),NA(),MATCH($B552&amp;$C552,'Smelter Reference List'!$J:$J,0))</f>
        <v>222</v>
      </c>
      <c r="T552" s="278"/>
      <c r="U552" s="278"/>
      <c r="V552" s="278"/>
      <c r="W552" s="278"/>
    </row>
    <row r="553" spans="1:23" s="269" customFormat="1" ht="20.25">
      <c r="A553" s="267"/>
      <c r="B553" s="275" t="s">
        <v>2436</v>
      </c>
      <c r="C553" s="275" t="s">
        <v>3831</v>
      </c>
      <c r="D553" s="168" t="s">
        <v>5594</v>
      </c>
      <c r="E553" s="168" t="s">
        <v>2351</v>
      </c>
      <c r="F553" s="168" t="s">
        <v>4623</v>
      </c>
      <c r="G553" s="168" t="s">
        <v>4623</v>
      </c>
      <c r="H553" s="292" t="s">
        <v>4623</v>
      </c>
      <c r="I553" s="293" t="s">
        <v>4623</v>
      </c>
      <c r="J553" s="293" t="s">
        <v>4623</v>
      </c>
      <c r="K553" s="290" t="s">
        <v>4623</v>
      </c>
      <c r="L553" s="290" t="s">
        <v>4623</v>
      </c>
      <c r="M553" s="290" t="s">
        <v>4623</v>
      </c>
      <c r="N553" s="290" t="s">
        <v>4623</v>
      </c>
      <c r="O553" s="290" t="s">
        <v>4623</v>
      </c>
      <c r="P553" s="290" t="s">
        <v>999</v>
      </c>
      <c r="Q553" s="291" t="s">
        <v>4623</v>
      </c>
      <c r="R553" s="276"/>
      <c r="S553" s="277">
        <f>IF(OR(C553="",C553=T$4),NA(),MATCH($B553&amp;$C553,'Smelter Reference List'!$J:$J,0))</f>
        <v>222</v>
      </c>
      <c r="T553" s="278"/>
      <c r="U553" s="278"/>
      <c r="V553" s="278"/>
      <c r="W553" s="278"/>
    </row>
    <row r="554" spans="1:23" s="269" customFormat="1" ht="20.25">
      <c r="A554" s="267"/>
      <c r="B554" s="275" t="s">
        <v>2436</v>
      </c>
      <c r="C554" s="275" t="s">
        <v>3831</v>
      </c>
      <c r="D554" s="168" t="s">
        <v>5595</v>
      </c>
      <c r="E554" s="168" t="s">
        <v>2351</v>
      </c>
      <c r="F554" s="168" t="s">
        <v>4623</v>
      </c>
      <c r="G554" s="168" t="s">
        <v>4623</v>
      </c>
      <c r="H554" s="292" t="s">
        <v>5596</v>
      </c>
      <c r="I554" s="293" t="s">
        <v>5597</v>
      </c>
      <c r="J554" s="293" t="s">
        <v>5562</v>
      </c>
      <c r="K554" s="290" t="s">
        <v>4623</v>
      </c>
      <c r="L554" s="290" t="s">
        <v>4623</v>
      </c>
      <c r="M554" s="290" t="s">
        <v>4623</v>
      </c>
      <c r="N554" s="290" t="s">
        <v>4623</v>
      </c>
      <c r="O554" s="290" t="s">
        <v>4623</v>
      </c>
      <c r="P554" s="290" t="s">
        <v>999</v>
      </c>
      <c r="Q554" s="291" t="s">
        <v>4623</v>
      </c>
      <c r="R554" s="276"/>
      <c r="S554" s="277">
        <f>IF(OR(C554="",C554=T$4),NA(),MATCH($B554&amp;$C554,'Smelter Reference List'!$J:$J,0))</f>
        <v>222</v>
      </c>
      <c r="T554" s="278"/>
      <c r="U554" s="278"/>
      <c r="V554" s="278"/>
      <c r="W554" s="278"/>
    </row>
    <row r="555" spans="1:23" s="269" customFormat="1" ht="20.25">
      <c r="A555" s="267"/>
      <c r="B555" s="275" t="s">
        <v>2436</v>
      </c>
      <c r="C555" s="275" t="s">
        <v>3831</v>
      </c>
      <c r="D555" s="168" t="s">
        <v>5598</v>
      </c>
      <c r="E555" s="168" t="s">
        <v>2351</v>
      </c>
      <c r="F555" s="168" t="s">
        <v>4623</v>
      </c>
      <c r="G555" s="168" t="s">
        <v>4623</v>
      </c>
      <c r="H555" s="292" t="s">
        <v>4792</v>
      </c>
      <c r="I555" s="293" t="s">
        <v>4623</v>
      </c>
      <c r="J555" s="293" t="s">
        <v>4623</v>
      </c>
      <c r="K555" s="290" t="s">
        <v>4623</v>
      </c>
      <c r="L555" s="290" t="s">
        <v>4623</v>
      </c>
      <c r="M555" s="290" t="s">
        <v>4623</v>
      </c>
      <c r="N555" s="290" t="s">
        <v>5599</v>
      </c>
      <c r="O555" s="290" t="s">
        <v>4623</v>
      </c>
      <c r="P555" s="290" t="s">
        <v>999</v>
      </c>
      <c r="Q555" s="291" t="s">
        <v>4623</v>
      </c>
      <c r="R555" s="276"/>
      <c r="S555" s="277">
        <f>IF(OR(C555="",C555=T$4),NA(),MATCH($B555&amp;$C555,'Smelter Reference List'!$J:$J,0))</f>
        <v>222</v>
      </c>
      <c r="T555" s="278"/>
      <c r="U555" s="278"/>
      <c r="V555" s="278"/>
      <c r="W555" s="278"/>
    </row>
    <row r="556" spans="1:23" s="269" customFormat="1" ht="20.25">
      <c r="A556" s="267"/>
      <c r="B556" s="275" t="s">
        <v>2436</v>
      </c>
      <c r="C556" s="275" t="s">
        <v>3831</v>
      </c>
      <c r="D556" s="168" t="s">
        <v>5600</v>
      </c>
      <c r="E556" s="168" t="s">
        <v>2351</v>
      </c>
      <c r="F556" s="168" t="s">
        <v>4623</v>
      </c>
      <c r="G556" s="168" t="s">
        <v>4623</v>
      </c>
      <c r="H556" s="292" t="s">
        <v>5601</v>
      </c>
      <c r="I556" s="293" t="s">
        <v>5602</v>
      </c>
      <c r="J556" s="293" t="s">
        <v>5603</v>
      </c>
      <c r="K556" s="290" t="s">
        <v>4623</v>
      </c>
      <c r="L556" s="290" t="s">
        <v>5604</v>
      </c>
      <c r="M556" s="290" t="s">
        <v>5001</v>
      </c>
      <c r="N556" s="290" t="s">
        <v>4792</v>
      </c>
      <c r="O556" s="290" t="s">
        <v>4792</v>
      </c>
      <c r="P556" s="290" t="s">
        <v>999</v>
      </c>
      <c r="Q556" s="291" t="s">
        <v>4623</v>
      </c>
      <c r="R556" s="276"/>
      <c r="S556" s="277">
        <f>IF(OR(C556="",C556=T$4),NA(),MATCH($B556&amp;$C556,'Smelter Reference List'!$J:$J,0))</f>
        <v>222</v>
      </c>
      <c r="T556" s="278"/>
      <c r="U556" s="278"/>
      <c r="V556" s="278"/>
      <c r="W556" s="278"/>
    </row>
    <row r="557" spans="1:23" s="269" customFormat="1" ht="20.25">
      <c r="A557" s="267"/>
      <c r="B557" s="275" t="s">
        <v>2436</v>
      </c>
      <c r="C557" s="275" t="s">
        <v>3831</v>
      </c>
      <c r="D557" s="168" t="s">
        <v>5605</v>
      </c>
      <c r="E557" s="168" t="s">
        <v>2359</v>
      </c>
      <c r="F557" s="168" t="s">
        <v>4623</v>
      </c>
      <c r="G557" s="168" t="s">
        <v>4623</v>
      </c>
      <c r="H557" s="292" t="s">
        <v>4623</v>
      </c>
      <c r="I557" s="293" t="s">
        <v>4623</v>
      </c>
      <c r="J557" s="293" t="s">
        <v>4623</v>
      </c>
      <c r="K557" s="290" t="s">
        <v>4623</v>
      </c>
      <c r="L557" s="290" t="s">
        <v>4623</v>
      </c>
      <c r="M557" s="290" t="s">
        <v>4623</v>
      </c>
      <c r="N557" s="290" t="s">
        <v>4623</v>
      </c>
      <c r="O557" s="290" t="s">
        <v>4623</v>
      </c>
      <c r="P557" s="290" t="s">
        <v>999</v>
      </c>
      <c r="Q557" s="291" t="s">
        <v>4623</v>
      </c>
      <c r="R557" s="276"/>
      <c r="S557" s="277">
        <f>IF(OR(C557="",C557=T$4),NA(),MATCH($B557&amp;$C557,'Smelter Reference List'!$J:$J,0))</f>
        <v>222</v>
      </c>
      <c r="T557" s="278"/>
      <c r="U557" s="278"/>
      <c r="V557" s="278"/>
      <c r="W557" s="278"/>
    </row>
    <row r="558" spans="1:23" s="269" customFormat="1" ht="20.25">
      <c r="A558" s="267"/>
      <c r="B558" s="275" t="s">
        <v>2436</v>
      </c>
      <c r="C558" s="275" t="s">
        <v>3831</v>
      </c>
      <c r="D558" s="168" t="s">
        <v>5606</v>
      </c>
      <c r="E558" s="168" t="s">
        <v>2359</v>
      </c>
      <c r="F558" s="168" t="s">
        <v>4623</v>
      </c>
      <c r="G558" s="168" t="s">
        <v>4623</v>
      </c>
      <c r="H558" s="292" t="s">
        <v>4623</v>
      </c>
      <c r="I558" s="293" t="s">
        <v>4623</v>
      </c>
      <c r="J558" s="293" t="s">
        <v>4623</v>
      </c>
      <c r="K558" s="290" t="s">
        <v>4623</v>
      </c>
      <c r="L558" s="290" t="s">
        <v>4623</v>
      </c>
      <c r="M558" s="290" t="s">
        <v>4623</v>
      </c>
      <c r="N558" s="290" t="s">
        <v>4623</v>
      </c>
      <c r="O558" s="290" t="s">
        <v>4623</v>
      </c>
      <c r="P558" s="290" t="s">
        <v>999</v>
      </c>
      <c r="Q558" s="291" t="s">
        <v>4623</v>
      </c>
      <c r="R558" s="276"/>
      <c r="S558" s="277">
        <f>IF(OR(C558="",C558=T$4),NA(),MATCH($B558&amp;$C558,'Smelter Reference List'!$J:$J,0))</f>
        <v>222</v>
      </c>
      <c r="T558" s="278"/>
      <c r="U558" s="278"/>
      <c r="V558" s="278"/>
      <c r="W558" s="278"/>
    </row>
    <row r="559" spans="1:23" s="269" customFormat="1" ht="20.25">
      <c r="A559" s="267"/>
      <c r="B559" s="275" t="s">
        <v>2436</v>
      </c>
      <c r="C559" s="275" t="s">
        <v>3831</v>
      </c>
      <c r="D559" s="168" t="s">
        <v>5607</v>
      </c>
      <c r="E559" s="168" t="s">
        <v>2359</v>
      </c>
      <c r="F559" s="168" t="s">
        <v>3577</v>
      </c>
      <c r="G559" s="168" t="s">
        <v>4623</v>
      </c>
      <c r="H559" s="292" t="s">
        <v>4623</v>
      </c>
      <c r="I559" s="293" t="s">
        <v>3578</v>
      </c>
      <c r="J559" s="293" t="s">
        <v>3367</v>
      </c>
      <c r="K559" s="290" t="s">
        <v>4623</v>
      </c>
      <c r="L559" s="290" t="s">
        <v>4623</v>
      </c>
      <c r="M559" s="290" t="s">
        <v>4623</v>
      </c>
      <c r="N559" s="290" t="s">
        <v>4623</v>
      </c>
      <c r="O559" s="290" t="s">
        <v>4623</v>
      </c>
      <c r="P559" s="290" t="s">
        <v>999</v>
      </c>
      <c r="Q559" s="291" t="s">
        <v>4623</v>
      </c>
      <c r="R559" s="276"/>
      <c r="S559" s="277">
        <f>IF(OR(C559="",C559=T$4),NA(),MATCH($B559&amp;$C559,'Smelter Reference List'!$J:$J,0))</f>
        <v>222</v>
      </c>
      <c r="T559" s="278"/>
      <c r="U559" s="278"/>
      <c r="V559" s="278"/>
      <c r="W559" s="278"/>
    </row>
    <row r="560" spans="1:23" s="269" customFormat="1" ht="20.25">
      <c r="A560" s="267"/>
      <c r="B560" s="275" t="s">
        <v>2436</v>
      </c>
      <c r="C560" s="275" t="s">
        <v>3831</v>
      </c>
      <c r="D560" s="168" t="s">
        <v>5608</v>
      </c>
      <c r="E560" s="168" t="s">
        <v>2362</v>
      </c>
      <c r="F560" s="168" t="s">
        <v>4623</v>
      </c>
      <c r="G560" s="168" t="s">
        <v>4623</v>
      </c>
      <c r="H560" s="292" t="s">
        <v>4623</v>
      </c>
      <c r="I560" s="293" t="s">
        <v>4623</v>
      </c>
      <c r="J560" s="293" t="s">
        <v>4623</v>
      </c>
      <c r="K560" s="290" t="s">
        <v>4623</v>
      </c>
      <c r="L560" s="290" t="s">
        <v>4623</v>
      </c>
      <c r="M560" s="290" t="s">
        <v>4623</v>
      </c>
      <c r="N560" s="290" t="s">
        <v>4623</v>
      </c>
      <c r="O560" s="290" t="s">
        <v>4623</v>
      </c>
      <c r="P560" s="290" t="s">
        <v>999</v>
      </c>
      <c r="Q560" s="291" t="s">
        <v>4623</v>
      </c>
      <c r="R560" s="276"/>
      <c r="S560" s="277">
        <f>IF(OR(C560="",C560=T$4),NA(),MATCH($B560&amp;$C560,'Smelter Reference List'!$J:$J,0))</f>
        <v>222</v>
      </c>
      <c r="T560" s="278"/>
      <c r="U560" s="278"/>
      <c r="V560" s="278"/>
      <c r="W560" s="278"/>
    </row>
    <row r="561" spans="1:23" s="269" customFormat="1" ht="20.25">
      <c r="A561" s="267"/>
      <c r="B561" s="275" t="s">
        <v>2436</v>
      </c>
      <c r="C561" s="275" t="s">
        <v>3831</v>
      </c>
      <c r="D561" s="168" t="s">
        <v>5609</v>
      </c>
      <c r="E561" s="168" t="s">
        <v>2362</v>
      </c>
      <c r="F561" s="168" t="s">
        <v>4623</v>
      </c>
      <c r="G561" s="168" t="s">
        <v>4623</v>
      </c>
      <c r="H561" s="292" t="s">
        <v>5610</v>
      </c>
      <c r="I561" s="293" t="s">
        <v>5611</v>
      </c>
      <c r="J561" s="293" t="s">
        <v>5612</v>
      </c>
      <c r="K561" s="290" t="s">
        <v>4623</v>
      </c>
      <c r="L561" s="290" t="s">
        <v>4623</v>
      </c>
      <c r="M561" s="290" t="s">
        <v>4623</v>
      </c>
      <c r="N561" s="290" t="s">
        <v>4671</v>
      </c>
      <c r="O561" s="290" t="s">
        <v>4671</v>
      </c>
      <c r="P561" s="290" t="s">
        <v>999</v>
      </c>
      <c r="Q561" s="291" t="s">
        <v>4623</v>
      </c>
      <c r="R561" s="276"/>
      <c r="S561" s="277">
        <f>IF(OR(C561="",C561=T$4),NA(),MATCH($B561&amp;$C561,'Smelter Reference List'!$J:$J,0))</f>
        <v>222</v>
      </c>
      <c r="T561" s="278"/>
      <c r="U561" s="278"/>
      <c r="V561" s="278"/>
      <c r="W561" s="278"/>
    </row>
    <row r="562" spans="1:23" s="269" customFormat="1" ht="20.25">
      <c r="A562" s="267"/>
      <c r="B562" s="275" t="s">
        <v>2436</v>
      </c>
      <c r="C562" s="275" t="s">
        <v>3831</v>
      </c>
      <c r="D562" s="168" t="s">
        <v>5613</v>
      </c>
      <c r="E562" s="168" t="s">
        <v>2362</v>
      </c>
      <c r="F562" s="168" t="s">
        <v>4623</v>
      </c>
      <c r="G562" s="168" t="s">
        <v>4623</v>
      </c>
      <c r="H562" s="292" t="s">
        <v>4623</v>
      </c>
      <c r="I562" s="293" t="s">
        <v>4623</v>
      </c>
      <c r="J562" s="293" t="s">
        <v>4623</v>
      </c>
      <c r="K562" s="290" t="s">
        <v>4623</v>
      </c>
      <c r="L562" s="290" t="s">
        <v>4623</v>
      </c>
      <c r="M562" s="290" t="s">
        <v>4623</v>
      </c>
      <c r="N562" s="290" t="s">
        <v>4623</v>
      </c>
      <c r="O562" s="290" t="s">
        <v>4623</v>
      </c>
      <c r="P562" s="290" t="s">
        <v>999</v>
      </c>
      <c r="Q562" s="291" t="s">
        <v>4623</v>
      </c>
      <c r="R562" s="276"/>
      <c r="S562" s="277">
        <f>IF(OR(C562="",C562=T$4),NA(),MATCH($B562&amp;$C562,'Smelter Reference List'!$J:$J,0))</f>
        <v>222</v>
      </c>
      <c r="T562" s="278"/>
      <c r="U562" s="278"/>
      <c r="V562" s="278"/>
      <c r="W562" s="278"/>
    </row>
    <row r="563" spans="1:23" s="269" customFormat="1" ht="20.25">
      <c r="A563" s="267"/>
      <c r="B563" s="275" t="s">
        <v>2436</v>
      </c>
      <c r="C563" s="275" t="s">
        <v>3831</v>
      </c>
      <c r="D563" s="168" t="s">
        <v>5614</v>
      </c>
      <c r="E563" s="168" t="s">
        <v>2362</v>
      </c>
      <c r="F563" s="168" t="s">
        <v>4623</v>
      </c>
      <c r="G563" s="168" t="s">
        <v>4623</v>
      </c>
      <c r="H563" s="292" t="s">
        <v>5615</v>
      </c>
      <c r="I563" s="293" t="s">
        <v>5616</v>
      </c>
      <c r="J563" s="293" t="s">
        <v>3341</v>
      </c>
      <c r="K563" s="290" t="s">
        <v>4623</v>
      </c>
      <c r="L563" s="290" t="s">
        <v>4623</v>
      </c>
      <c r="M563" s="290" t="s">
        <v>4628</v>
      </c>
      <c r="N563" s="290" t="s">
        <v>4628</v>
      </c>
      <c r="O563" s="290" t="s">
        <v>5617</v>
      </c>
      <c r="P563" s="290" t="s">
        <v>999</v>
      </c>
      <c r="Q563" s="291" t="s">
        <v>4623</v>
      </c>
      <c r="R563" s="276"/>
      <c r="S563" s="277">
        <f>IF(OR(C563="",C563=T$4),NA(),MATCH($B563&amp;$C563,'Smelter Reference List'!$J:$J,0))</f>
        <v>222</v>
      </c>
      <c r="T563" s="278"/>
      <c r="U563" s="278"/>
      <c r="V563" s="278"/>
      <c r="W563" s="278"/>
    </row>
    <row r="564" spans="1:23" s="269" customFormat="1" ht="20.25">
      <c r="A564" s="267"/>
      <c r="B564" s="275" t="s">
        <v>2436</v>
      </c>
      <c r="C564" s="275" t="s">
        <v>3831</v>
      </c>
      <c r="D564" s="168" t="s">
        <v>5618</v>
      </c>
      <c r="E564" s="168" t="s">
        <v>2362</v>
      </c>
      <c r="F564" s="168" t="s">
        <v>4623</v>
      </c>
      <c r="G564" s="168" t="s">
        <v>4623</v>
      </c>
      <c r="H564" s="292" t="s">
        <v>4623</v>
      </c>
      <c r="I564" s="293" t="s">
        <v>4623</v>
      </c>
      <c r="J564" s="293" t="s">
        <v>4623</v>
      </c>
      <c r="K564" s="290" t="s">
        <v>4623</v>
      </c>
      <c r="L564" s="290" t="s">
        <v>4623</v>
      </c>
      <c r="M564" s="290" t="s">
        <v>4623</v>
      </c>
      <c r="N564" s="290" t="s">
        <v>4623</v>
      </c>
      <c r="O564" s="290" t="s">
        <v>4623</v>
      </c>
      <c r="P564" s="290" t="s">
        <v>999</v>
      </c>
      <c r="Q564" s="291" t="s">
        <v>4623</v>
      </c>
      <c r="R564" s="276"/>
      <c r="S564" s="277">
        <f>IF(OR(C564="",C564=T$4),NA(),MATCH($B564&amp;$C564,'Smelter Reference List'!$J:$J,0))</f>
        <v>222</v>
      </c>
      <c r="T564" s="278"/>
      <c r="U564" s="278"/>
      <c r="V564" s="278"/>
      <c r="W564" s="278"/>
    </row>
    <row r="565" spans="1:23" s="269" customFormat="1" ht="20.25">
      <c r="A565" s="267"/>
      <c r="B565" s="275" t="s">
        <v>2436</v>
      </c>
      <c r="C565" s="275" t="s">
        <v>3831</v>
      </c>
      <c r="D565" s="168" t="s">
        <v>5619</v>
      </c>
      <c r="E565" s="168" t="s">
        <v>2362</v>
      </c>
      <c r="F565" s="168" t="s">
        <v>4623</v>
      </c>
      <c r="G565" s="168" t="s">
        <v>4623</v>
      </c>
      <c r="H565" s="292" t="s">
        <v>4623</v>
      </c>
      <c r="I565" s="293" t="s">
        <v>4623</v>
      </c>
      <c r="J565" s="293" t="s">
        <v>4623</v>
      </c>
      <c r="K565" s="290" t="s">
        <v>4623</v>
      </c>
      <c r="L565" s="290" t="s">
        <v>4623</v>
      </c>
      <c r="M565" s="290" t="s">
        <v>4623</v>
      </c>
      <c r="N565" s="290" t="s">
        <v>4623</v>
      </c>
      <c r="O565" s="290" t="s">
        <v>4623</v>
      </c>
      <c r="P565" s="290" t="s">
        <v>999</v>
      </c>
      <c r="Q565" s="291" t="s">
        <v>4623</v>
      </c>
      <c r="R565" s="276"/>
      <c r="S565" s="277">
        <f>IF(OR(C565="",C565=T$4),NA(),MATCH($B565&amp;$C565,'Smelter Reference List'!$J:$J,0))</f>
        <v>222</v>
      </c>
      <c r="T565" s="278"/>
      <c r="U565" s="278"/>
      <c r="V565" s="278"/>
      <c r="W565" s="278"/>
    </row>
    <row r="566" spans="1:23" s="269" customFormat="1" ht="20.25">
      <c r="A566" s="267"/>
      <c r="B566" s="275" t="s">
        <v>2436</v>
      </c>
      <c r="C566" s="275" t="s">
        <v>3831</v>
      </c>
      <c r="D566" s="168" t="s">
        <v>5620</v>
      </c>
      <c r="E566" s="168" t="s">
        <v>2362</v>
      </c>
      <c r="F566" s="168" t="s">
        <v>4623</v>
      </c>
      <c r="G566" s="168" t="s">
        <v>4623</v>
      </c>
      <c r="H566" s="292" t="s">
        <v>4623</v>
      </c>
      <c r="I566" s="293" t="s">
        <v>4623</v>
      </c>
      <c r="J566" s="293" t="s">
        <v>4623</v>
      </c>
      <c r="K566" s="290" t="s">
        <v>4623</v>
      </c>
      <c r="L566" s="290" t="s">
        <v>4623</v>
      </c>
      <c r="M566" s="290" t="s">
        <v>4623</v>
      </c>
      <c r="N566" s="290" t="s">
        <v>4623</v>
      </c>
      <c r="O566" s="290" t="s">
        <v>4623</v>
      </c>
      <c r="P566" s="290" t="s">
        <v>999</v>
      </c>
      <c r="Q566" s="291" t="s">
        <v>4623</v>
      </c>
      <c r="R566" s="276"/>
      <c r="S566" s="277">
        <f>IF(OR(C566="",C566=T$4),NA(),MATCH($B566&amp;$C566,'Smelter Reference List'!$J:$J,0))</f>
        <v>222</v>
      </c>
      <c r="T566" s="278"/>
      <c r="U566" s="278"/>
      <c r="V566" s="278"/>
      <c r="W566" s="278"/>
    </row>
    <row r="567" spans="1:23" s="269" customFormat="1" ht="20.25">
      <c r="A567" s="267"/>
      <c r="B567" s="275" t="s">
        <v>2436</v>
      </c>
      <c r="C567" s="275" t="s">
        <v>3831</v>
      </c>
      <c r="D567" s="168" t="s">
        <v>5621</v>
      </c>
      <c r="E567" s="168" t="s">
        <v>2362</v>
      </c>
      <c r="F567" s="168" t="s">
        <v>4623</v>
      </c>
      <c r="G567" s="168" t="s">
        <v>4623</v>
      </c>
      <c r="H567" s="292" t="s">
        <v>4623</v>
      </c>
      <c r="I567" s="293" t="s">
        <v>4623</v>
      </c>
      <c r="J567" s="293" t="s">
        <v>4623</v>
      </c>
      <c r="K567" s="290" t="s">
        <v>4623</v>
      </c>
      <c r="L567" s="290" t="s">
        <v>4623</v>
      </c>
      <c r="M567" s="290" t="s">
        <v>4623</v>
      </c>
      <c r="N567" s="290" t="s">
        <v>4623</v>
      </c>
      <c r="O567" s="290" t="s">
        <v>4623</v>
      </c>
      <c r="P567" s="290" t="s">
        <v>999</v>
      </c>
      <c r="Q567" s="291" t="s">
        <v>4623</v>
      </c>
      <c r="R567" s="276"/>
      <c r="S567" s="277">
        <f>IF(OR(C567="",C567=T$4),NA(),MATCH($B567&amp;$C567,'Smelter Reference List'!$J:$J,0))</f>
        <v>222</v>
      </c>
      <c r="T567" s="278"/>
      <c r="U567" s="278"/>
      <c r="V567" s="278"/>
      <c r="W567" s="278"/>
    </row>
    <row r="568" spans="1:23" s="269" customFormat="1" ht="20.25">
      <c r="A568" s="267"/>
      <c r="B568" s="275" t="s">
        <v>2436</v>
      </c>
      <c r="C568" s="275" t="s">
        <v>3831</v>
      </c>
      <c r="D568" s="168" t="s">
        <v>5622</v>
      </c>
      <c r="E568" s="168" t="s">
        <v>2362</v>
      </c>
      <c r="F568" s="168" t="s">
        <v>4623</v>
      </c>
      <c r="G568" s="168" t="s">
        <v>4623</v>
      </c>
      <c r="H568" s="292" t="s">
        <v>5623</v>
      </c>
      <c r="I568" s="293" t="s">
        <v>5624</v>
      </c>
      <c r="J568" s="293" t="s">
        <v>5625</v>
      </c>
      <c r="K568" s="290" t="s">
        <v>4623</v>
      </c>
      <c r="L568" s="290" t="s">
        <v>5626</v>
      </c>
      <c r="M568" s="290" t="s">
        <v>5627</v>
      </c>
      <c r="N568" s="290" t="s">
        <v>5628</v>
      </c>
      <c r="O568" s="290" t="s">
        <v>4700</v>
      </c>
      <c r="P568" s="290" t="s">
        <v>999</v>
      </c>
      <c r="Q568" s="291" t="s">
        <v>5629</v>
      </c>
      <c r="R568" s="276"/>
      <c r="S568" s="277">
        <f>IF(OR(C568="",C568=T$4),NA(),MATCH($B568&amp;$C568,'Smelter Reference List'!$J:$J,0))</f>
        <v>222</v>
      </c>
      <c r="T568" s="278"/>
      <c r="U568" s="278"/>
      <c r="V568" s="278"/>
      <c r="W568" s="278"/>
    </row>
    <row r="569" spans="1:23" s="269" customFormat="1" ht="20.25">
      <c r="A569" s="267"/>
      <c r="B569" s="275" t="s">
        <v>2436</v>
      </c>
      <c r="C569" s="275" t="s">
        <v>3831</v>
      </c>
      <c r="D569" s="168" t="s">
        <v>5630</v>
      </c>
      <c r="E569" s="168" t="s">
        <v>2362</v>
      </c>
      <c r="F569" s="168" t="s">
        <v>4623</v>
      </c>
      <c r="G569" s="168" t="s">
        <v>4623</v>
      </c>
      <c r="H569" s="292" t="s">
        <v>4623</v>
      </c>
      <c r="I569" s="293" t="s">
        <v>4623</v>
      </c>
      <c r="J569" s="293" t="s">
        <v>4623</v>
      </c>
      <c r="K569" s="290" t="s">
        <v>4623</v>
      </c>
      <c r="L569" s="290" t="s">
        <v>4623</v>
      </c>
      <c r="M569" s="290" t="s">
        <v>4623</v>
      </c>
      <c r="N569" s="290" t="s">
        <v>4623</v>
      </c>
      <c r="O569" s="290" t="s">
        <v>4623</v>
      </c>
      <c r="P569" s="290" t="s">
        <v>999</v>
      </c>
      <c r="Q569" s="291" t="s">
        <v>4623</v>
      </c>
      <c r="R569" s="276"/>
      <c r="S569" s="277">
        <f>IF(OR(C569="",C569=T$4),NA(),MATCH($B569&amp;$C569,'Smelter Reference List'!$J:$J,0))</f>
        <v>222</v>
      </c>
      <c r="T569" s="278"/>
      <c r="U569" s="278"/>
      <c r="V569" s="278"/>
      <c r="W569" s="278"/>
    </row>
    <row r="570" spans="1:23" s="269" customFormat="1" ht="20.25">
      <c r="A570" s="267"/>
      <c r="B570" s="275" t="s">
        <v>2436</v>
      </c>
      <c r="C570" s="275" t="s">
        <v>3831</v>
      </c>
      <c r="D570" s="168" t="s">
        <v>5631</v>
      </c>
      <c r="E570" s="168" t="s">
        <v>2362</v>
      </c>
      <c r="F570" s="168" t="s">
        <v>4623</v>
      </c>
      <c r="G570" s="168" t="s">
        <v>4623</v>
      </c>
      <c r="H570" s="292" t="s">
        <v>4623</v>
      </c>
      <c r="I570" s="293" t="s">
        <v>4623</v>
      </c>
      <c r="J570" s="293" t="s">
        <v>4623</v>
      </c>
      <c r="K570" s="290" t="s">
        <v>4623</v>
      </c>
      <c r="L570" s="290" t="s">
        <v>4623</v>
      </c>
      <c r="M570" s="290" t="s">
        <v>4623</v>
      </c>
      <c r="N570" s="290" t="s">
        <v>4623</v>
      </c>
      <c r="O570" s="290" t="s">
        <v>4623</v>
      </c>
      <c r="P570" s="290" t="s">
        <v>999</v>
      </c>
      <c r="Q570" s="291" t="s">
        <v>4623</v>
      </c>
      <c r="R570" s="276"/>
      <c r="S570" s="277">
        <f>IF(OR(C570="",C570=T$4),NA(),MATCH($B570&amp;$C570,'Smelter Reference List'!$J:$J,0))</f>
        <v>222</v>
      </c>
      <c r="T570" s="278"/>
      <c r="U570" s="278"/>
      <c r="V570" s="278"/>
      <c r="W570" s="278"/>
    </row>
    <row r="571" spans="1:23" s="269" customFormat="1" ht="20.25">
      <c r="A571" s="267"/>
      <c r="B571" s="275" t="s">
        <v>2436</v>
      </c>
      <c r="C571" s="275" t="s">
        <v>3831</v>
      </c>
      <c r="D571" s="168" t="s">
        <v>5632</v>
      </c>
      <c r="E571" s="168" t="s">
        <v>2362</v>
      </c>
      <c r="F571" s="168" t="s">
        <v>4623</v>
      </c>
      <c r="G571" s="168" t="s">
        <v>4623</v>
      </c>
      <c r="H571" s="292" t="s">
        <v>5633</v>
      </c>
      <c r="I571" s="293" t="s">
        <v>5634</v>
      </c>
      <c r="J571" s="293" t="s">
        <v>5635</v>
      </c>
      <c r="K571" s="290" t="s">
        <v>5636</v>
      </c>
      <c r="L571" s="290" t="s">
        <v>5637</v>
      </c>
      <c r="M571" s="290" t="s">
        <v>4623</v>
      </c>
      <c r="N571" s="290" t="s">
        <v>4623</v>
      </c>
      <c r="O571" s="290" t="s">
        <v>4623</v>
      </c>
      <c r="P571" s="290" t="s">
        <v>999</v>
      </c>
      <c r="Q571" s="291" t="s">
        <v>4623</v>
      </c>
      <c r="R571" s="276"/>
      <c r="S571" s="277">
        <f>IF(OR(C571="",C571=T$4),NA(),MATCH($B571&amp;$C571,'Smelter Reference List'!$J:$J,0))</f>
        <v>222</v>
      </c>
      <c r="T571" s="278"/>
      <c r="U571" s="278"/>
      <c r="V571" s="278"/>
      <c r="W571" s="278"/>
    </row>
    <row r="572" spans="1:23" s="269" customFormat="1" ht="20.25">
      <c r="A572" s="267"/>
      <c r="B572" s="275" t="s">
        <v>2436</v>
      </c>
      <c r="C572" s="275" t="s">
        <v>3831</v>
      </c>
      <c r="D572" s="168" t="s">
        <v>5638</v>
      </c>
      <c r="E572" s="168" t="s">
        <v>2362</v>
      </c>
      <c r="F572" s="168" t="s">
        <v>4623</v>
      </c>
      <c r="G572" s="168" t="s">
        <v>4623</v>
      </c>
      <c r="H572" s="292" t="s">
        <v>5639</v>
      </c>
      <c r="I572" s="293" t="s">
        <v>4623</v>
      </c>
      <c r="J572" s="293" t="s">
        <v>4623</v>
      </c>
      <c r="K572" s="290" t="s">
        <v>4623</v>
      </c>
      <c r="L572" s="290" t="s">
        <v>4623</v>
      </c>
      <c r="M572" s="290" t="s">
        <v>4623</v>
      </c>
      <c r="N572" s="290" t="s">
        <v>4623</v>
      </c>
      <c r="O572" s="290" t="s">
        <v>4623</v>
      </c>
      <c r="P572" s="290" t="s">
        <v>999</v>
      </c>
      <c r="Q572" s="291" t="s">
        <v>4623</v>
      </c>
      <c r="R572" s="276"/>
      <c r="S572" s="277">
        <f>IF(OR(C572="",C572=T$4),NA(),MATCH($B572&amp;$C572,'Smelter Reference List'!$J:$J,0))</f>
        <v>222</v>
      </c>
      <c r="T572" s="278"/>
      <c r="U572" s="278"/>
      <c r="V572" s="278"/>
      <c r="W572" s="278"/>
    </row>
    <row r="573" spans="1:23" s="269" customFormat="1" ht="20.25">
      <c r="A573" s="267"/>
      <c r="B573" s="275" t="s">
        <v>2436</v>
      </c>
      <c r="C573" s="275" t="s">
        <v>3831</v>
      </c>
      <c r="D573" s="168" t="s">
        <v>5640</v>
      </c>
      <c r="E573" s="168" t="s">
        <v>2362</v>
      </c>
      <c r="F573" s="168" t="s">
        <v>4623</v>
      </c>
      <c r="G573" s="168" t="s">
        <v>4623</v>
      </c>
      <c r="H573" s="292" t="s">
        <v>4623</v>
      </c>
      <c r="I573" s="293" t="s">
        <v>4623</v>
      </c>
      <c r="J573" s="293" t="s">
        <v>4623</v>
      </c>
      <c r="K573" s="290" t="s">
        <v>4623</v>
      </c>
      <c r="L573" s="290" t="s">
        <v>4623</v>
      </c>
      <c r="M573" s="290" t="s">
        <v>4623</v>
      </c>
      <c r="N573" s="290" t="s">
        <v>4623</v>
      </c>
      <c r="O573" s="290" t="s">
        <v>4623</v>
      </c>
      <c r="P573" s="290" t="s">
        <v>999</v>
      </c>
      <c r="Q573" s="291" t="s">
        <v>4623</v>
      </c>
      <c r="R573" s="276"/>
      <c r="S573" s="277">
        <f>IF(OR(C573="",C573=T$4),NA(),MATCH($B573&amp;$C573,'Smelter Reference List'!$J:$J,0))</f>
        <v>222</v>
      </c>
      <c r="T573" s="278"/>
      <c r="U573" s="278"/>
      <c r="V573" s="278"/>
      <c r="W573" s="278"/>
    </row>
    <row r="574" spans="1:23" s="269" customFormat="1" ht="20.25">
      <c r="A574" s="267"/>
      <c r="B574" s="275" t="s">
        <v>2436</v>
      </c>
      <c r="C574" s="275" t="s">
        <v>3831</v>
      </c>
      <c r="D574" s="168" t="s">
        <v>5641</v>
      </c>
      <c r="E574" s="168" t="s">
        <v>2362</v>
      </c>
      <c r="F574" s="168" t="s">
        <v>4623</v>
      </c>
      <c r="G574" s="168" t="s">
        <v>4623</v>
      </c>
      <c r="H574" s="292" t="s">
        <v>4623</v>
      </c>
      <c r="I574" s="293" t="s">
        <v>4623</v>
      </c>
      <c r="J574" s="293" t="s">
        <v>4623</v>
      </c>
      <c r="K574" s="290" t="s">
        <v>4623</v>
      </c>
      <c r="L574" s="290" t="s">
        <v>4623</v>
      </c>
      <c r="M574" s="290" t="s">
        <v>4623</v>
      </c>
      <c r="N574" s="290" t="s">
        <v>4623</v>
      </c>
      <c r="O574" s="290" t="s">
        <v>4623</v>
      </c>
      <c r="P574" s="290" t="s">
        <v>999</v>
      </c>
      <c r="Q574" s="291" t="s">
        <v>4623</v>
      </c>
      <c r="R574" s="276"/>
      <c r="S574" s="277">
        <f>IF(OR(C574="",C574=T$4),NA(),MATCH($B574&amp;$C574,'Smelter Reference List'!$J:$J,0))</f>
        <v>222</v>
      </c>
      <c r="T574" s="278"/>
      <c r="U574" s="278"/>
      <c r="V574" s="278"/>
      <c r="W574" s="278"/>
    </row>
    <row r="575" spans="1:23" s="269" customFormat="1" ht="20.25">
      <c r="A575" s="267"/>
      <c r="B575" s="275" t="s">
        <v>2436</v>
      </c>
      <c r="C575" s="275" t="s">
        <v>3831</v>
      </c>
      <c r="D575" s="168" t="s">
        <v>5642</v>
      </c>
      <c r="E575" s="168" t="s">
        <v>2362</v>
      </c>
      <c r="F575" s="168" t="s">
        <v>4623</v>
      </c>
      <c r="G575" s="168" t="s">
        <v>4623</v>
      </c>
      <c r="H575" s="292" t="s">
        <v>5643</v>
      </c>
      <c r="I575" s="293" t="s">
        <v>3328</v>
      </c>
      <c r="J575" s="293" t="s">
        <v>4623</v>
      </c>
      <c r="K575" s="290" t="s">
        <v>4623</v>
      </c>
      <c r="L575" s="290" t="s">
        <v>4623</v>
      </c>
      <c r="M575" s="290" t="s">
        <v>4623</v>
      </c>
      <c r="N575" s="290" t="s">
        <v>4623</v>
      </c>
      <c r="O575" s="290" t="s">
        <v>4623</v>
      </c>
      <c r="P575" s="290" t="s">
        <v>999</v>
      </c>
      <c r="Q575" s="291" t="s">
        <v>4623</v>
      </c>
      <c r="R575" s="276"/>
      <c r="S575" s="277">
        <f>IF(OR(C575="",C575=T$4),NA(),MATCH($B575&amp;$C575,'Smelter Reference List'!$J:$J,0))</f>
        <v>222</v>
      </c>
      <c r="T575" s="278"/>
      <c r="U575" s="278"/>
      <c r="V575" s="278"/>
      <c r="W575" s="278"/>
    </row>
    <row r="576" spans="1:23" s="269" customFormat="1" ht="20.25">
      <c r="A576" s="267"/>
      <c r="B576" s="275" t="s">
        <v>2436</v>
      </c>
      <c r="C576" s="275" t="s">
        <v>3831</v>
      </c>
      <c r="D576" s="168" t="s">
        <v>5644</v>
      </c>
      <c r="E576" s="168" t="s">
        <v>2362</v>
      </c>
      <c r="F576" s="168" t="s">
        <v>4623</v>
      </c>
      <c r="G576" s="168" t="s">
        <v>4623</v>
      </c>
      <c r="H576" s="292" t="s">
        <v>4623</v>
      </c>
      <c r="I576" s="293" t="s">
        <v>4623</v>
      </c>
      <c r="J576" s="293" t="s">
        <v>4623</v>
      </c>
      <c r="K576" s="290" t="s">
        <v>4623</v>
      </c>
      <c r="L576" s="290" t="s">
        <v>4623</v>
      </c>
      <c r="M576" s="290" t="s">
        <v>4623</v>
      </c>
      <c r="N576" s="290" t="s">
        <v>4623</v>
      </c>
      <c r="O576" s="290" t="s">
        <v>4623</v>
      </c>
      <c r="P576" s="290" t="s">
        <v>999</v>
      </c>
      <c r="Q576" s="291" t="s">
        <v>4623</v>
      </c>
      <c r="R576" s="276"/>
      <c r="S576" s="277">
        <f>IF(OR(C576="",C576=T$4),NA(),MATCH($B576&amp;$C576,'Smelter Reference List'!$J:$J,0))</f>
        <v>222</v>
      </c>
      <c r="T576" s="278"/>
      <c r="U576" s="278"/>
      <c r="V576" s="278"/>
      <c r="W576" s="278"/>
    </row>
    <row r="577" spans="1:23" s="269" customFormat="1" ht="20.25">
      <c r="A577" s="267"/>
      <c r="B577" s="275" t="s">
        <v>2436</v>
      </c>
      <c r="C577" s="275" t="s">
        <v>3831</v>
      </c>
      <c r="D577" s="168" t="s">
        <v>5645</v>
      </c>
      <c r="E577" s="168" t="s">
        <v>2362</v>
      </c>
      <c r="F577" s="168" t="s">
        <v>4623</v>
      </c>
      <c r="G577" s="168" t="s">
        <v>4623</v>
      </c>
      <c r="H577" s="292" t="s">
        <v>5646</v>
      </c>
      <c r="I577" s="293" t="s">
        <v>5647</v>
      </c>
      <c r="J577" s="293" t="s">
        <v>5648</v>
      </c>
      <c r="K577" s="290" t="s">
        <v>4623</v>
      </c>
      <c r="L577" s="290" t="s">
        <v>5649</v>
      </c>
      <c r="M577" s="290" t="s">
        <v>4623</v>
      </c>
      <c r="N577" s="290" t="s">
        <v>4623</v>
      </c>
      <c r="O577" s="290" t="s">
        <v>4623</v>
      </c>
      <c r="P577" s="290" t="s">
        <v>999</v>
      </c>
      <c r="Q577" s="291" t="s">
        <v>4623</v>
      </c>
      <c r="R577" s="276"/>
      <c r="S577" s="277">
        <f>IF(OR(C577="",C577=T$4),NA(),MATCH($B577&amp;$C577,'Smelter Reference List'!$J:$J,0))</f>
        <v>222</v>
      </c>
      <c r="T577" s="278"/>
      <c r="U577" s="278"/>
      <c r="V577" s="278"/>
      <c r="W577" s="278"/>
    </row>
    <row r="578" spans="1:23" s="269" customFormat="1" ht="20.25">
      <c r="A578" s="267"/>
      <c r="B578" s="275" t="s">
        <v>2436</v>
      </c>
      <c r="C578" s="275" t="s">
        <v>3831</v>
      </c>
      <c r="D578" s="168" t="s">
        <v>5650</v>
      </c>
      <c r="E578" s="168" t="s">
        <v>2362</v>
      </c>
      <c r="F578" s="168" t="s">
        <v>4623</v>
      </c>
      <c r="G578" s="168" t="s">
        <v>4623</v>
      </c>
      <c r="H578" s="292" t="s">
        <v>4623</v>
      </c>
      <c r="I578" s="293" t="s">
        <v>4623</v>
      </c>
      <c r="J578" s="293" t="s">
        <v>4623</v>
      </c>
      <c r="K578" s="290" t="s">
        <v>4623</v>
      </c>
      <c r="L578" s="290" t="s">
        <v>4623</v>
      </c>
      <c r="M578" s="290" t="s">
        <v>4623</v>
      </c>
      <c r="N578" s="290" t="s">
        <v>4623</v>
      </c>
      <c r="O578" s="290" t="s">
        <v>4623</v>
      </c>
      <c r="P578" s="290" t="s">
        <v>999</v>
      </c>
      <c r="Q578" s="291" t="s">
        <v>4623</v>
      </c>
      <c r="R578" s="276"/>
      <c r="S578" s="277">
        <f>IF(OR(C578="",C578=T$4),NA(),MATCH($B578&amp;$C578,'Smelter Reference List'!$J:$J,0))</f>
        <v>222</v>
      </c>
      <c r="T578" s="278"/>
      <c r="U578" s="278"/>
      <c r="V578" s="278"/>
      <c r="W578" s="278"/>
    </row>
    <row r="579" spans="1:23" s="269" customFormat="1" ht="20.25">
      <c r="A579" s="267"/>
      <c r="B579" s="275" t="s">
        <v>2436</v>
      </c>
      <c r="C579" s="275" t="s">
        <v>3831</v>
      </c>
      <c r="D579" s="168" t="s">
        <v>5651</v>
      </c>
      <c r="E579" s="168" t="s">
        <v>2362</v>
      </c>
      <c r="F579" s="168" t="s">
        <v>4623</v>
      </c>
      <c r="G579" s="168" t="s">
        <v>4623</v>
      </c>
      <c r="H579" s="292" t="s">
        <v>4623</v>
      </c>
      <c r="I579" s="293" t="s">
        <v>4623</v>
      </c>
      <c r="J579" s="293" t="s">
        <v>4623</v>
      </c>
      <c r="K579" s="290" t="s">
        <v>4623</v>
      </c>
      <c r="L579" s="290" t="s">
        <v>4623</v>
      </c>
      <c r="M579" s="290" t="s">
        <v>4623</v>
      </c>
      <c r="N579" s="290" t="s">
        <v>4623</v>
      </c>
      <c r="O579" s="290" t="s">
        <v>4623</v>
      </c>
      <c r="P579" s="290" t="s">
        <v>999</v>
      </c>
      <c r="Q579" s="291" t="s">
        <v>4623</v>
      </c>
      <c r="R579" s="276"/>
      <c r="S579" s="277">
        <f>IF(OR(C579="",C579=T$4),NA(),MATCH($B579&amp;$C579,'Smelter Reference List'!$J:$J,0))</f>
        <v>222</v>
      </c>
      <c r="T579" s="278"/>
      <c r="U579" s="278"/>
      <c r="V579" s="278"/>
      <c r="W579" s="278"/>
    </row>
    <row r="580" spans="1:23" s="269" customFormat="1" ht="20.25">
      <c r="A580" s="267"/>
      <c r="B580" s="275" t="s">
        <v>2436</v>
      </c>
      <c r="C580" s="275" t="s">
        <v>3831</v>
      </c>
      <c r="D580" s="168" t="s">
        <v>5451</v>
      </c>
      <c r="E580" s="168" t="s">
        <v>2362</v>
      </c>
      <c r="F580" s="168" t="s">
        <v>4623</v>
      </c>
      <c r="G580" s="168" t="s">
        <v>4623</v>
      </c>
      <c r="H580" s="292" t="s">
        <v>4623</v>
      </c>
      <c r="I580" s="293" t="s">
        <v>4623</v>
      </c>
      <c r="J580" s="293" t="s">
        <v>4623</v>
      </c>
      <c r="K580" s="290" t="s">
        <v>4623</v>
      </c>
      <c r="L580" s="290" t="s">
        <v>4623</v>
      </c>
      <c r="M580" s="290" t="s">
        <v>4623</v>
      </c>
      <c r="N580" s="290" t="s">
        <v>4623</v>
      </c>
      <c r="O580" s="290" t="s">
        <v>4623</v>
      </c>
      <c r="P580" s="290" t="s">
        <v>999</v>
      </c>
      <c r="Q580" s="291" t="s">
        <v>4623</v>
      </c>
      <c r="R580" s="276"/>
      <c r="S580" s="277">
        <f>IF(OR(C580="",C580=T$4),NA(),MATCH($B580&amp;$C580,'Smelter Reference List'!$J:$J,0))</f>
        <v>222</v>
      </c>
      <c r="T580" s="278"/>
      <c r="U580" s="278"/>
      <c r="V580" s="278"/>
      <c r="W580" s="278"/>
    </row>
    <row r="581" spans="1:23" s="269" customFormat="1" ht="20.25">
      <c r="A581" s="267"/>
      <c r="B581" s="275" t="s">
        <v>2436</v>
      </c>
      <c r="C581" s="275" t="s">
        <v>3831</v>
      </c>
      <c r="D581" s="168" t="s">
        <v>5652</v>
      </c>
      <c r="E581" s="168" t="s">
        <v>2362</v>
      </c>
      <c r="F581" s="168" t="s">
        <v>4623</v>
      </c>
      <c r="G581" s="168" t="s">
        <v>4623</v>
      </c>
      <c r="H581" s="292" t="s">
        <v>4623</v>
      </c>
      <c r="I581" s="293" t="s">
        <v>4623</v>
      </c>
      <c r="J581" s="293" t="s">
        <v>4623</v>
      </c>
      <c r="K581" s="290" t="s">
        <v>4623</v>
      </c>
      <c r="L581" s="290" t="s">
        <v>4623</v>
      </c>
      <c r="M581" s="290" t="s">
        <v>4623</v>
      </c>
      <c r="N581" s="290" t="s">
        <v>4623</v>
      </c>
      <c r="O581" s="290" t="s">
        <v>4623</v>
      </c>
      <c r="P581" s="290" t="s">
        <v>999</v>
      </c>
      <c r="Q581" s="291" t="s">
        <v>4623</v>
      </c>
      <c r="R581" s="276"/>
      <c r="S581" s="277">
        <f>IF(OR(C581="",C581=T$4),NA(),MATCH($B581&amp;$C581,'Smelter Reference List'!$J:$J,0))</f>
        <v>222</v>
      </c>
      <c r="T581" s="278"/>
      <c r="U581" s="278"/>
      <c r="V581" s="278"/>
      <c r="W581" s="278"/>
    </row>
    <row r="582" spans="1:23" s="269" customFormat="1" ht="20.25">
      <c r="A582" s="267"/>
      <c r="B582" s="275" t="s">
        <v>2436</v>
      </c>
      <c r="C582" s="275" t="s">
        <v>3831</v>
      </c>
      <c r="D582" s="168" t="s">
        <v>5523</v>
      </c>
      <c r="E582" s="168" t="s">
        <v>2362</v>
      </c>
      <c r="F582" s="168" t="s">
        <v>4623</v>
      </c>
      <c r="G582" s="168" t="s">
        <v>4623</v>
      </c>
      <c r="H582" s="292" t="s">
        <v>4623</v>
      </c>
      <c r="I582" s="293" t="s">
        <v>4623</v>
      </c>
      <c r="J582" s="293" t="s">
        <v>4623</v>
      </c>
      <c r="K582" s="290" t="s">
        <v>4623</v>
      </c>
      <c r="L582" s="290" t="s">
        <v>4623</v>
      </c>
      <c r="M582" s="290" t="s">
        <v>4623</v>
      </c>
      <c r="N582" s="290" t="s">
        <v>4623</v>
      </c>
      <c r="O582" s="290" t="s">
        <v>4623</v>
      </c>
      <c r="P582" s="290" t="s">
        <v>999</v>
      </c>
      <c r="Q582" s="291" t="s">
        <v>4623</v>
      </c>
      <c r="R582" s="276"/>
      <c r="S582" s="277">
        <f>IF(OR(C582="",C582=T$4),NA(),MATCH($B582&amp;$C582,'Smelter Reference List'!$J:$J,0))</f>
        <v>222</v>
      </c>
      <c r="T582" s="278"/>
      <c r="U582" s="278"/>
      <c r="V582" s="278"/>
      <c r="W582" s="278"/>
    </row>
    <row r="583" spans="1:23" s="269" customFormat="1" ht="20.25">
      <c r="A583" s="267"/>
      <c r="B583" s="275" t="s">
        <v>2436</v>
      </c>
      <c r="C583" s="275" t="s">
        <v>3831</v>
      </c>
      <c r="D583" s="168" t="s">
        <v>5653</v>
      </c>
      <c r="E583" s="168" t="s">
        <v>2362</v>
      </c>
      <c r="F583" s="168" t="s">
        <v>4623</v>
      </c>
      <c r="G583" s="168" t="s">
        <v>4623</v>
      </c>
      <c r="H583" s="292" t="s">
        <v>4623</v>
      </c>
      <c r="I583" s="293" t="s">
        <v>4623</v>
      </c>
      <c r="J583" s="293" t="s">
        <v>4623</v>
      </c>
      <c r="K583" s="290" t="s">
        <v>4623</v>
      </c>
      <c r="L583" s="290" t="s">
        <v>4623</v>
      </c>
      <c r="M583" s="290" t="s">
        <v>4623</v>
      </c>
      <c r="N583" s="290" t="s">
        <v>4623</v>
      </c>
      <c r="O583" s="290" t="s">
        <v>4623</v>
      </c>
      <c r="P583" s="290" t="s">
        <v>999</v>
      </c>
      <c r="Q583" s="291" t="s">
        <v>4623</v>
      </c>
      <c r="R583" s="276"/>
      <c r="S583" s="277">
        <f>IF(OR(C583="",C583=T$4),NA(),MATCH($B583&amp;$C583,'Smelter Reference List'!$J:$J,0))</f>
        <v>222</v>
      </c>
      <c r="T583" s="278"/>
      <c r="U583" s="278"/>
      <c r="V583" s="278"/>
      <c r="W583" s="278"/>
    </row>
    <row r="584" spans="1:23" s="269" customFormat="1" ht="20.25">
      <c r="A584" s="267"/>
      <c r="B584" s="275" t="s">
        <v>2436</v>
      </c>
      <c r="C584" s="275" t="s">
        <v>3831</v>
      </c>
      <c r="D584" s="168" t="s">
        <v>5654</v>
      </c>
      <c r="E584" s="168" t="s">
        <v>2362</v>
      </c>
      <c r="F584" s="168" t="s">
        <v>4623</v>
      </c>
      <c r="G584" s="168" t="s">
        <v>4623</v>
      </c>
      <c r="H584" s="292" t="s">
        <v>4623</v>
      </c>
      <c r="I584" s="293" t="s">
        <v>4623</v>
      </c>
      <c r="J584" s="293" t="s">
        <v>4623</v>
      </c>
      <c r="K584" s="290" t="s">
        <v>4623</v>
      </c>
      <c r="L584" s="290" t="s">
        <v>4623</v>
      </c>
      <c r="M584" s="290" t="s">
        <v>4623</v>
      </c>
      <c r="N584" s="290" t="s">
        <v>4623</v>
      </c>
      <c r="O584" s="290" t="s">
        <v>4623</v>
      </c>
      <c r="P584" s="290" t="s">
        <v>999</v>
      </c>
      <c r="Q584" s="291" t="s">
        <v>4623</v>
      </c>
      <c r="R584" s="276"/>
      <c r="S584" s="277">
        <f>IF(OR(C584="",C584=T$4),NA(),MATCH($B584&amp;$C584,'Smelter Reference List'!$J:$J,0))</f>
        <v>222</v>
      </c>
      <c r="T584" s="278"/>
      <c r="U584" s="278"/>
      <c r="V584" s="278"/>
      <c r="W584" s="278"/>
    </row>
    <row r="585" spans="1:23" s="269" customFormat="1" ht="20.25">
      <c r="A585" s="267"/>
      <c r="B585" s="275" t="s">
        <v>2436</v>
      </c>
      <c r="C585" s="275" t="s">
        <v>3831</v>
      </c>
      <c r="D585" s="168" t="s">
        <v>5655</v>
      </c>
      <c r="E585" s="168" t="s">
        <v>2362</v>
      </c>
      <c r="F585" s="168" t="s">
        <v>4623</v>
      </c>
      <c r="G585" s="168" t="s">
        <v>4623</v>
      </c>
      <c r="H585" s="292" t="s">
        <v>4623</v>
      </c>
      <c r="I585" s="293" t="s">
        <v>4623</v>
      </c>
      <c r="J585" s="293" t="s">
        <v>4623</v>
      </c>
      <c r="K585" s="290" t="s">
        <v>4623</v>
      </c>
      <c r="L585" s="290" t="s">
        <v>4623</v>
      </c>
      <c r="M585" s="290" t="s">
        <v>4623</v>
      </c>
      <c r="N585" s="290" t="s">
        <v>4623</v>
      </c>
      <c r="O585" s="290" t="s">
        <v>4623</v>
      </c>
      <c r="P585" s="290" t="s">
        <v>999</v>
      </c>
      <c r="Q585" s="291" t="s">
        <v>4623</v>
      </c>
      <c r="R585" s="276"/>
      <c r="S585" s="277">
        <f>IF(OR(C585="",C585=T$4),NA(),MATCH($B585&amp;$C585,'Smelter Reference List'!$J:$J,0))</f>
        <v>222</v>
      </c>
      <c r="T585" s="278"/>
      <c r="U585" s="278"/>
      <c r="V585" s="278"/>
      <c r="W585" s="278"/>
    </row>
    <row r="586" spans="1:23" s="269" customFormat="1" ht="20.25">
      <c r="A586" s="267"/>
      <c r="B586" s="275" t="s">
        <v>2436</v>
      </c>
      <c r="C586" s="275" t="s">
        <v>3831</v>
      </c>
      <c r="D586" s="168" t="s">
        <v>5656</v>
      </c>
      <c r="E586" s="168" t="s">
        <v>2362</v>
      </c>
      <c r="F586" s="168" t="s">
        <v>4623</v>
      </c>
      <c r="G586" s="168" t="s">
        <v>4623</v>
      </c>
      <c r="H586" s="292" t="s">
        <v>4623</v>
      </c>
      <c r="I586" s="293" t="s">
        <v>4623</v>
      </c>
      <c r="J586" s="293" t="s">
        <v>4623</v>
      </c>
      <c r="K586" s="290" t="s">
        <v>4623</v>
      </c>
      <c r="L586" s="290" t="s">
        <v>4623</v>
      </c>
      <c r="M586" s="290" t="s">
        <v>4623</v>
      </c>
      <c r="N586" s="290" t="s">
        <v>4623</v>
      </c>
      <c r="O586" s="290" t="s">
        <v>4623</v>
      </c>
      <c r="P586" s="290" t="s">
        <v>999</v>
      </c>
      <c r="Q586" s="291" t="s">
        <v>4623</v>
      </c>
      <c r="R586" s="276"/>
      <c r="S586" s="277">
        <f>IF(OR(C586="",C586=T$4),NA(),MATCH($B586&amp;$C586,'Smelter Reference List'!$J:$J,0))</f>
        <v>222</v>
      </c>
      <c r="T586" s="278"/>
      <c r="U586" s="278"/>
      <c r="V586" s="278"/>
      <c r="W586" s="278"/>
    </row>
    <row r="587" spans="1:23" s="269" customFormat="1" ht="20.25">
      <c r="A587" s="267"/>
      <c r="B587" s="275" t="s">
        <v>2436</v>
      </c>
      <c r="C587" s="275" t="s">
        <v>3831</v>
      </c>
      <c r="D587" s="168" t="s">
        <v>5657</v>
      </c>
      <c r="E587" s="168" t="s">
        <v>2362</v>
      </c>
      <c r="F587" s="168" t="s">
        <v>4623</v>
      </c>
      <c r="G587" s="168" t="s">
        <v>4623</v>
      </c>
      <c r="H587" s="292" t="s">
        <v>5658</v>
      </c>
      <c r="I587" s="293" t="s">
        <v>5659</v>
      </c>
      <c r="J587" s="293" t="s">
        <v>3328</v>
      </c>
      <c r="K587" s="290" t="s">
        <v>4623</v>
      </c>
      <c r="L587" s="290" t="s">
        <v>4623</v>
      </c>
      <c r="M587" s="290" t="s">
        <v>4623</v>
      </c>
      <c r="N587" s="290" t="s">
        <v>4623</v>
      </c>
      <c r="O587" s="290" t="s">
        <v>4623</v>
      </c>
      <c r="P587" s="290" t="s">
        <v>999</v>
      </c>
      <c r="Q587" s="291" t="s">
        <v>4623</v>
      </c>
      <c r="R587" s="276"/>
      <c r="S587" s="277">
        <f>IF(OR(C587="",C587=T$4),NA(),MATCH($B587&amp;$C587,'Smelter Reference List'!$J:$J,0))</f>
        <v>222</v>
      </c>
      <c r="T587" s="278"/>
      <c r="U587" s="278"/>
      <c r="V587" s="278"/>
      <c r="W587" s="278"/>
    </row>
    <row r="588" spans="1:23" s="269" customFormat="1" ht="20.25">
      <c r="A588" s="267"/>
      <c r="B588" s="275" t="s">
        <v>2436</v>
      </c>
      <c r="C588" s="275" t="s">
        <v>3831</v>
      </c>
      <c r="D588" s="168" t="s">
        <v>5660</v>
      </c>
      <c r="E588" s="168" t="s">
        <v>2362</v>
      </c>
      <c r="F588" s="168" t="s">
        <v>4623</v>
      </c>
      <c r="G588" s="168" t="s">
        <v>4623</v>
      </c>
      <c r="H588" s="292" t="s">
        <v>5661</v>
      </c>
      <c r="I588" s="293" t="s">
        <v>5662</v>
      </c>
      <c r="J588" s="293" t="s">
        <v>5663</v>
      </c>
      <c r="K588" s="290" t="s">
        <v>4623</v>
      </c>
      <c r="L588" s="290" t="s">
        <v>4623</v>
      </c>
      <c r="M588" s="290" t="s">
        <v>4623</v>
      </c>
      <c r="N588" s="290" t="s">
        <v>4623</v>
      </c>
      <c r="O588" s="290" t="s">
        <v>4623</v>
      </c>
      <c r="P588" s="290" t="s">
        <v>999</v>
      </c>
      <c r="Q588" s="291" t="s">
        <v>4623</v>
      </c>
      <c r="R588" s="276"/>
      <c r="S588" s="277">
        <f>IF(OR(C588="",C588=T$4),NA(),MATCH($B588&amp;$C588,'Smelter Reference List'!$J:$J,0))</f>
        <v>222</v>
      </c>
      <c r="T588" s="278"/>
      <c r="U588" s="278"/>
      <c r="V588" s="278"/>
      <c r="W588" s="278"/>
    </row>
    <row r="589" spans="1:23" s="269" customFormat="1" ht="20.25">
      <c r="A589" s="267"/>
      <c r="B589" s="275" t="s">
        <v>2436</v>
      </c>
      <c r="C589" s="275" t="s">
        <v>3831</v>
      </c>
      <c r="D589" s="168" t="s">
        <v>5664</v>
      </c>
      <c r="E589" s="168" t="s">
        <v>2362</v>
      </c>
      <c r="F589" s="168" t="s">
        <v>4623</v>
      </c>
      <c r="G589" s="168" t="s">
        <v>4623</v>
      </c>
      <c r="H589" s="292" t="s">
        <v>4623</v>
      </c>
      <c r="I589" s="293" t="s">
        <v>4623</v>
      </c>
      <c r="J589" s="293" t="s">
        <v>4623</v>
      </c>
      <c r="K589" s="290" t="s">
        <v>4623</v>
      </c>
      <c r="L589" s="290" t="s">
        <v>4623</v>
      </c>
      <c r="M589" s="290" t="s">
        <v>4623</v>
      </c>
      <c r="N589" s="290" t="s">
        <v>4623</v>
      </c>
      <c r="O589" s="290" t="s">
        <v>4623</v>
      </c>
      <c r="P589" s="290" t="s">
        <v>999</v>
      </c>
      <c r="Q589" s="291" t="s">
        <v>4623</v>
      </c>
      <c r="R589" s="276"/>
      <c r="S589" s="277">
        <f>IF(OR(C589="",C589=T$4),NA(),MATCH($B589&amp;$C589,'Smelter Reference List'!$J:$J,0))</f>
        <v>222</v>
      </c>
      <c r="T589" s="278"/>
      <c r="U589" s="278"/>
      <c r="V589" s="278"/>
      <c r="W589" s="278"/>
    </row>
    <row r="590" spans="1:23" s="269" customFormat="1" ht="20.25">
      <c r="A590" s="267"/>
      <c r="B590" s="275" t="s">
        <v>2436</v>
      </c>
      <c r="C590" s="275" t="s">
        <v>3831</v>
      </c>
      <c r="D590" s="168" t="s">
        <v>5665</v>
      </c>
      <c r="E590" s="168" t="s">
        <v>2362</v>
      </c>
      <c r="F590" s="168" t="s">
        <v>4623</v>
      </c>
      <c r="G590" s="168" t="s">
        <v>4623</v>
      </c>
      <c r="H590" s="292" t="s">
        <v>4623</v>
      </c>
      <c r="I590" s="293" t="s">
        <v>4623</v>
      </c>
      <c r="J590" s="293" t="s">
        <v>4623</v>
      </c>
      <c r="K590" s="290" t="s">
        <v>4623</v>
      </c>
      <c r="L590" s="290" t="s">
        <v>4623</v>
      </c>
      <c r="M590" s="290" t="s">
        <v>4623</v>
      </c>
      <c r="N590" s="290" t="s">
        <v>4623</v>
      </c>
      <c r="O590" s="290" t="s">
        <v>4623</v>
      </c>
      <c r="P590" s="290" t="s">
        <v>999</v>
      </c>
      <c r="Q590" s="291" t="s">
        <v>4623</v>
      </c>
      <c r="R590" s="276"/>
      <c r="S590" s="277">
        <f>IF(OR(C590="",C590=T$4),NA(),MATCH($B590&amp;$C590,'Smelter Reference List'!$J:$J,0))</f>
        <v>222</v>
      </c>
      <c r="T590" s="278"/>
      <c r="U590" s="278"/>
      <c r="V590" s="278"/>
      <c r="W590" s="278"/>
    </row>
    <row r="591" spans="1:23" s="269" customFormat="1" ht="20.25">
      <c r="A591" s="267"/>
      <c r="B591" s="275" t="s">
        <v>2436</v>
      </c>
      <c r="C591" s="275" t="s">
        <v>3831</v>
      </c>
      <c r="D591" s="168" t="s">
        <v>5666</v>
      </c>
      <c r="E591" s="168" t="s">
        <v>2362</v>
      </c>
      <c r="F591" s="168" t="s">
        <v>4623</v>
      </c>
      <c r="G591" s="168" t="s">
        <v>4623</v>
      </c>
      <c r="H591" s="292" t="s">
        <v>4623</v>
      </c>
      <c r="I591" s="293" t="s">
        <v>4623</v>
      </c>
      <c r="J591" s="293" t="s">
        <v>4623</v>
      </c>
      <c r="K591" s="290" t="s">
        <v>4623</v>
      </c>
      <c r="L591" s="290" t="s">
        <v>4623</v>
      </c>
      <c r="M591" s="290" t="s">
        <v>4623</v>
      </c>
      <c r="N591" s="290" t="s">
        <v>4623</v>
      </c>
      <c r="O591" s="290" t="s">
        <v>4623</v>
      </c>
      <c r="P591" s="290" t="s">
        <v>999</v>
      </c>
      <c r="Q591" s="291" t="s">
        <v>4623</v>
      </c>
      <c r="R591" s="276"/>
      <c r="S591" s="277">
        <f>IF(OR(C591="",C591=T$4),NA(),MATCH($B591&amp;$C591,'Smelter Reference List'!$J:$J,0))</f>
        <v>222</v>
      </c>
      <c r="T591" s="278"/>
      <c r="U591" s="278"/>
      <c r="V591" s="278"/>
      <c r="W591" s="278"/>
    </row>
    <row r="592" spans="1:23" s="269" customFormat="1" ht="20.25">
      <c r="A592" s="267"/>
      <c r="B592" s="275" t="s">
        <v>2436</v>
      </c>
      <c r="C592" s="275" t="s">
        <v>3831</v>
      </c>
      <c r="D592" s="168" t="s">
        <v>3455</v>
      </c>
      <c r="E592" s="168" t="s">
        <v>2362</v>
      </c>
      <c r="F592" s="168" t="s">
        <v>4623</v>
      </c>
      <c r="G592" s="168" t="s">
        <v>4623</v>
      </c>
      <c r="H592" s="292" t="s">
        <v>4623</v>
      </c>
      <c r="I592" s="293" t="s">
        <v>4623</v>
      </c>
      <c r="J592" s="293" t="s">
        <v>4623</v>
      </c>
      <c r="K592" s="290" t="s">
        <v>4623</v>
      </c>
      <c r="L592" s="290" t="s">
        <v>4623</v>
      </c>
      <c r="M592" s="290" t="s">
        <v>4623</v>
      </c>
      <c r="N592" s="290" t="s">
        <v>4623</v>
      </c>
      <c r="O592" s="290" t="s">
        <v>4623</v>
      </c>
      <c r="P592" s="290" t="s">
        <v>999</v>
      </c>
      <c r="Q592" s="291" t="s">
        <v>4623</v>
      </c>
      <c r="R592" s="276"/>
      <c r="S592" s="277">
        <f>IF(OR(C592="",C592=T$4),NA(),MATCH($B592&amp;$C592,'Smelter Reference List'!$J:$J,0))</f>
        <v>222</v>
      </c>
      <c r="T592" s="278"/>
      <c r="U592" s="278"/>
      <c r="V592" s="278"/>
      <c r="W592" s="278"/>
    </row>
    <row r="593" spans="1:23" s="269" customFormat="1" ht="20.25">
      <c r="A593" s="267"/>
      <c r="B593" s="275" t="s">
        <v>2436</v>
      </c>
      <c r="C593" s="275" t="s">
        <v>3831</v>
      </c>
      <c r="D593" s="168" t="s">
        <v>5667</v>
      </c>
      <c r="E593" s="168" t="s">
        <v>2362</v>
      </c>
      <c r="F593" s="168" t="s">
        <v>4623</v>
      </c>
      <c r="G593" s="168" t="s">
        <v>4623</v>
      </c>
      <c r="H593" s="292" t="s">
        <v>5668</v>
      </c>
      <c r="I593" s="293" t="s">
        <v>5669</v>
      </c>
      <c r="J593" s="293" t="s">
        <v>5670</v>
      </c>
      <c r="K593" s="290" t="s">
        <v>4623</v>
      </c>
      <c r="L593" s="290" t="s">
        <v>4623</v>
      </c>
      <c r="M593" s="290" t="s">
        <v>4623</v>
      </c>
      <c r="N593" s="290" t="s">
        <v>4628</v>
      </c>
      <c r="O593" s="290" t="s">
        <v>4628</v>
      </c>
      <c r="P593" s="290" t="s">
        <v>999</v>
      </c>
      <c r="Q593" s="291" t="s">
        <v>4623</v>
      </c>
      <c r="R593" s="276"/>
      <c r="S593" s="277">
        <f>IF(OR(C593="",C593=T$4),NA(),MATCH($B593&amp;$C593,'Smelter Reference List'!$J:$J,0))</f>
        <v>222</v>
      </c>
      <c r="T593" s="278"/>
      <c r="U593" s="278"/>
      <c r="V593" s="278"/>
      <c r="W593" s="278"/>
    </row>
    <row r="594" spans="1:23" s="269" customFormat="1" ht="20.25">
      <c r="A594" s="267"/>
      <c r="B594" s="275" t="s">
        <v>2436</v>
      </c>
      <c r="C594" s="275" t="s">
        <v>3831</v>
      </c>
      <c r="D594" s="168" t="s">
        <v>5671</v>
      </c>
      <c r="E594" s="168" t="s">
        <v>2362</v>
      </c>
      <c r="F594" s="168" t="s">
        <v>4623</v>
      </c>
      <c r="G594" s="168" t="s">
        <v>4623</v>
      </c>
      <c r="H594" s="292" t="s">
        <v>4623</v>
      </c>
      <c r="I594" s="293" t="s">
        <v>4623</v>
      </c>
      <c r="J594" s="293" t="s">
        <v>4623</v>
      </c>
      <c r="K594" s="290" t="s">
        <v>4623</v>
      </c>
      <c r="L594" s="290" t="s">
        <v>4623</v>
      </c>
      <c r="M594" s="290" t="s">
        <v>4623</v>
      </c>
      <c r="N594" s="290" t="s">
        <v>4623</v>
      </c>
      <c r="O594" s="290" t="s">
        <v>4623</v>
      </c>
      <c r="P594" s="290" t="s">
        <v>999</v>
      </c>
      <c r="Q594" s="291" t="s">
        <v>4623</v>
      </c>
      <c r="R594" s="276"/>
      <c r="S594" s="277">
        <f>IF(OR(C594="",C594=T$4),NA(),MATCH($B594&amp;$C594,'Smelter Reference List'!$J:$J,0))</f>
        <v>222</v>
      </c>
      <c r="T594" s="278"/>
      <c r="U594" s="278"/>
      <c r="V594" s="278"/>
      <c r="W594" s="278"/>
    </row>
    <row r="595" spans="1:23" s="269" customFormat="1" ht="20.25">
      <c r="A595" s="267"/>
      <c r="B595" s="275" t="s">
        <v>2436</v>
      </c>
      <c r="C595" s="275" t="s">
        <v>3831</v>
      </c>
      <c r="D595" s="168" t="s">
        <v>5672</v>
      </c>
      <c r="E595" s="168" t="s">
        <v>2362</v>
      </c>
      <c r="F595" s="168" t="s">
        <v>4623</v>
      </c>
      <c r="G595" s="168" t="s">
        <v>4623</v>
      </c>
      <c r="H595" s="292" t="s">
        <v>5673</v>
      </c>
      <c r="I595" s="293" t="s">
        <v>5674</v>
      </c>
      <c r="J595" s="293" t="s">
        <v>4623</v>
      </c>
      <c r="K595" s="290" t="s">
        <v>4623</v>
      </c>
      <c r="L595" s="290" t="s">
        <v>4623</v>
      </c>
      <c r="M595" s="290" t="s">
        <v>4628</v>
      </c>
      <c r="N595" s="290" t="s">
        <v>4623</v>
      </c>
      <c r="O595" s="290" t="s">
        <v>4623</v>
      </c>
      <c r="P595" s="290" t="s">
        <v>999</v>
      </c>
      <c r="Q595" s="291" t="s">
        <v>4623</v>
      </c>
      <c r="R595" s="276"/>
      <c r="S595" s="277">
        <f>IF(OR(C595="",C595=T$4),NA(),MATCH($B595&amp;$C595,'Smelter Reference List'!$J:$J,0))</f>
        <v>222</v>
      </c>
      <c r="T595" s="278"/>
      <c r="U595" s="278"/>
      <c r="V595" s="278"/>
      <c r="W595" s="278"/>
    </row>
    <row r="596" spans="1:23" s="269" customFormat="1" ht="20.25">
      <c r="A596" s="267"/>
      <c r="B596" s="275" t="s">
        <v>2436</v>
      </c>
      <c r="C596" s="275" t="s">
        <v>3831</v>
      </c>
      <c r="D596" s="168" t="s">
        <v>5675</v>
      </c>
      <c r="E596" s="168" t="s">
        <v>2362</v>
      </c>
      <c r="F596" s="168" t="s">
        <v>4623</v>
      </c>
      <c r="G596" s="168" t="s">
        <v>4623</v>
      </c>
      <c r="H596" s="292" t="s">
        <v>5676</v>
      </c>
      <c r="I596" s="293" t="s">
        <v>4623</v>
      </c>
      <c r="J596" s="293" t="s">
        <v>4623</v>
      </c>
      <c r="K596" s="290" t="s">
        <v>5677</v>
      </c>
      <c r="L596" s="290" t="s">
        <v>5678</v>
      </c>
      <c r="M596" s="290" t="s">
        <v>4623</v>
      </c>
      <c r="N596" s="290" t="s">
        <v>4623</v>
      </c>
      <c r="O596" s="290" t="s">
        <v>4623</v>
      </c>
      <c r="P596" s="290" t="s">
        <v>999</v>
      </c>
      <c r="Q596" s="291" t="s">
        <v>4623</v>
      </c>
      <c r="R596" s="276"/>
      <c r="S596" s="277">
        <f>IF(OR(C596="",C596=T$4),NA(),MATCH($B596&amp;$C596,'Smelter Reference List'!$J:$J,0))</f>
        <v>222</v>
      </c>
      <c r="T596" s="278"/>
      <c r="U596" s="278"/>
      <c r="V596" s="278"/>
      <c r="W596" s="278"/>
    </row>
    <row r="597" spans="1:23" s="269" customFormat="1" ht="20.25">
      <c r="A597" s="267"/>
      <c r="B597" s="275" t="s">
        <v>2436</v>
      </c>
      <c r="C597" s="275" t="s">
        <v>3831</v>
      </c>
      <c r="D597" s="168" t="s">
        <v>5679</v>
      </c>
      <c r="E597" s="168" t="s">
        <v>2362</v>
      </c>
      <c r="F597" s="168" t="s">
        <v>4623</v>
      </c>
      <c r="G597" s="168" t="s">
        <v>4623</v>
      </c>
      <c r="H597" s="292" t="s">
        <v>4623</v>
      </c>
      <c r="I597" s="293" t="s">
        <v>4623</v>
      </c>
      <c r="J597" s="293" t="s">
        <v>4623</v>
      </c>
      <c r="K597" s="290" t="s">
        <v>4623</v>
      </c>
      <c r="L597" s="290" t="s">
        <v>4623</v>
      </c>
      <c r="M597" s="290" t="s">
        <v>4623</v>
      </c>
      <c r="N597" s="290" t="s">
        <v>4623</v>
      </c>
      <c r="O597" s="290" t="s">
        <v>4623</v>
      </c>
      <c r="P597" s="290" t="s">
        <v>999</v>
      </c>
      <c r="Q597" s="291" t="s">
        <v>4623</v>
      </c>
      <c r="R597" s="276"/>
      <c r="S597" s="277">
        <f>IF(OR(C597="",C597=T$4),NA(),MATCH($B597&amp;$C597,'Smelter Reference List'!$J:$J,0))</f>
        <v>222</v>
      </c>
      <c r="T597" s="278"/>
      <c r="U597" s="278"/>
      <c r="V597" s="278"/>
      <c r="W597" s="278"/>
    </row>
    <row r="598" spans="1:23" s="269" customFormat="1" ht="20.25">
      <c r="A598" s="267"/>
      <c r="B598" s="275" t="s">
        <v>2436</v>
      </c>
      <c r="C598" s="275" t="s">
        <v>3831</v>
      </c>
      <c r="D598" s="168" t="s">
        <v>5680</v>
      </c>
      <c r="E598" s="168" t="s">
        <v>2362</v>
      </c>
      <c r="F598" s="168" t="s">
        <v>4623</v>
      </c>
      <c r="G598" s="168" t="s">
        <v>4623</v>
      </c>
      <c r="H598" s="292" t="s">
        <v>4623</v>
      </c>
      <c r="I598" s="293" t="s">
        <v>4623</v>
      </c>
      <c r="J598" s="293" t="s">
        <v>4623</v>
      </c>
      <c r="K598" s="290" t="s">
        <v>4623</v>
      </c>
      <c r="L598" s="290" t="s">
        <v>4623</v>
      </c>
      <c r="M598" s="290" t="s">
        <v>4623</v>
      </c>
      <c r="N598" s="290" t="s">
        <v>4623</v>
      </c>
      <c r="O598" s="290" t="s">
        <v>4623</v>
      </c>
      <c r="P598" s="290" t="s">
        <v>999</v>
      </c>
      <c r="Q598" s="291" t="s">
        <v>4623</v>
      </c>
      <c r="R598" s="276"/>
      <c r="S598" s="277">
        <f>IF(OR(C598="",C598=T$4),NA(),MATCH($B598&amp;$C598,'Smelter Reference List'!$J:$J,0))</f>
        <v>222</v>
      </c>
      <c r="T598" s="278"/>
      <c r="U598" s="278"/>
      <c r="V598" s="278"/>
      <c r="W598" s="278"/>
    </row>
    <row r="599" spans="1:23" s="269" customFormat="1" ht="20.25">
      <c r="A599" s="267"/>
      <c r="B599" s="275" t="s">
        <v>2436</v>
      </c>
      <c r="C599" s="275" t="s">
        <v>3831</v>
      </c>
      <c r="D599" s="168" t="s">
        <v>5681</v>
      </c>
      <c r="E599" s="168" t="s">
        <v>2362</v>
      </c>
      <c r="F599" s="168" t="s">
        <v>4623</v>
      </c>
      <c r="G599" s="168" t="s">
        <v>4623</v>
      </c>
      <c r="H599" s="292" t="s">
        <v>4623</v>
      </c>
      <c r="I599" s="293" t="s">
        <v>4623</v>
      </c>
      <c r="J599" s="293" t="s">
        <v>4623</v>
      </c>
      <c r="K599" s="290" t="s">
        <v>4623</v>
      </c>
      <c r="L599" s="290" t="s">
        <v>4623</v>
      </c>
      <c r="M599" s="290" t="s">
        <v>4623</v>
      </c>
      <c r="N599" s="290" t="s">
        <v>4623</v>
      </c>
      <c r="O599" s="290" t="s">
        <v>4623</v>
      </c>
      <c r="P599" s="290" t="s">
        <v>999</v>
      </c>
      <c r="Q599" s="291" t="s">
        <v>4623</v>
      </c>
      <c r="R599" s="276"/>
      <c r="S599" s="277">
        <f>IF(OR(C599="",C599=T$4),NA(),MATCH($B599&amp;$C599,'Smelter Reference List'!$J:$J,0))</f>
        <v>222</v>
      </c>
      <c r="T599" s="278"/>
      <c r="U599" s="278"/>
      <c r="V599" s="278"/>
      <c r="W599" s="278"/>
    </row>
    <row r="600" spans="1:23" s="269" customFormat="1" ht="20.25">
      <c r="A600" s="267"/>
      <c r="B600" s="275" t="s">
        <v>2436</v>
      </c>
      <c r="C600" s="275" t="s">
        <v>3831</v>
      </c>
      <c r="D600" s="168" t="s">
        <v>5682</v>
      </c>
      <c r="E600" s="168" t="s">
        <v>2362</v>
      </c>
      <c r="F600" s="168" t="s">
        <v>4623</v>
      </c>
      <c r="G600" s="168" t="s">
        <v>4623</v>
      </c>
      <c r="H600" s="292" t="s">
        <v>4623</v>
      </c>
      <c r="I600" s="293" t="s">
        <v>4623</v>
      </c>
      <c r="J600" s="293" t="s">
        <v>4623</v>
      </c>
      <c r="K600" s="290" t="s">
        <v>4623</v>
      </c>
      <c r="L600" s="290" t="s">
        <v>4623</v>
      </c>
      <c r="M600" s="290" t="s">
        <v>4623</v>
      </c>
      <c r="N600" s="290" t="s">
        <v>4623</v>
      </c>
      <c r="O600" s="290" t="s">
        <v>4623</v>
      </c>
      <c r="P600" s="290" t="s">
        <v>999</v>
      </c>
      <c r="Q600" s="291" t="s">
        <v>4623</v>
      </c>
      <c r="R600" s="276"/>
      <c r="S600" s="277">
        <f>IF(OR(C600="",C600=T$4),NA(),MATCH($B600&amp;$C600,'Smelter Reference List'!$J:$J,0))</f>
        <v>222</v>
      </c>
      <c r="T600" s="278"/>
      <c r="U600" s="278"/>
      <c r="V600" s="278"/>
      <c r="W600" s="278"/>
    </row>
    <row r="601" spans="1:23" s="269" customFormat="1" ht="20.25">
      <c r="A601" s="267"/>
      <c r="B601" s="275" t="s">
        <v>2436</v>
      </c>
      <c r="C601" s="275" t="s">
        <v>3831</v>
      </c>
      <c r="D601" s="168" t="s">
        <v>5683</v>
      </c>
      <c r="E601" s="168" t="s">
        <v>2362</v>
      </c>
      <c r="F601" s="168" t="s">
        <v>4623</v>
      </c>
      <c r="G601" s="168" t="s">
        <v>4623</v>
      </c>
      <c r="H601" s="292" t="s">
        <v>4623</v>
      </c>
      <c r="I601" s="293" t="s">
        <v>4623</v>
      </c>
      <c r="J601" s="293" t="s">
        <v>4623</v>
      </c>
      <c r="K601" s="290" t="s">
        <v>4623</v>
      </c>
      <c r="L601" s="290" t="s">
        <v>4874</v>
      </c>
      <c r="M601" s="290" t="s">
        <v>5684</v>
      </c>
      <c r="N601" s="290" t="s">
        <v>4623</v>
      </c>
      <c r="O601" s="290" t="s">
        <v>4623</v>
      </c>
      <c r="P601" s="290" t="s">
        <v>999</v>
      </c>
      <c r="Q601" s="291" t="s">
        <v>4623</v>
      </c>
      <c r="R601" s="276"/>
      <c r="S601" s="277">
        <f>IF(OR(C601="",C601=T$4),NA(),MATCH($B601&amp;$C601,'Smelter Reference List'!$J:$J,0))</f>
        <v>222</v>
      </c>
      <c r="T601" s="278"/>
      <c r="U601" s="278"/>
      <c r="V601" s="278"/>
      <c r="W601" s="278"/>
    </row>
    <row r="602" spans="1:23" s="269" customFormat="1" ht="20.25">
      <c r="A602" s="267"/>
      <c r="B602" s="275" t="s">
        <v>2436</v>
      </c>
      <c r="C602" s="275" t="s">
        <v>3831</v>
      </c>
      <c r="D602" s="168" t="s">
        <v>5685</v>
      </c>
      <c r="E602" s="168" t="s">
        <v>2362</v>
      </c>
      <c r="F602" s="168" t="s">
        <v>4623</v>
      </c>
      <c r="G602" s="168" t="s">
        <v>4623</v>
      </c>
      <c r="H602" s="292" t="s">
        <v>4623</v>
      </c>
      <c r="I602" s="293" t="s">
        <v>4623</v>
      </c>
      <c r="J602" s="293" t="s">
        <v>4623</v>
      </c>
      <c r="K602" s="290" t="s">
        <v>4623</v>
      </c>
      <c r="L602" s="290" t="s">
        <v>4623</v>
      </c>
      <c r="M602" s="290" t="s">
        <v>4623</v>
      </c>
      <c r="N602" s="290" t="s">
        <v>4623</v>
      </c>
      <c r="O602" s="290" t="s">
        <v>4623</v>
      </c>
      <c r="P602" s="290" t="s">
        <v>999</v>
      </c>
      <c r="Q602" s="291" t="s">
        <v>4623</v>
      </c>
      <c r="R602" s="276"/>
      <c r="S602" s="277">
        <f>IF(OR(C602="",C602=T$4),NA(),MATCH($B602&amp;$C602,'Smelter Reference List'!$J:$J,0))</f>
        <v>222</v>
      </c>
      <c r="T602" s="278"/>
      <c r="U602" s="278"/>
      <c r="V602" s="278"/>
      <c r="W602" s="278"/>
    </row>
    <row r="603" spans="1:23" s="269" customFormat="1" ht="20.25">
      <c r="A603" s="267"/>
      <c r="B603" s="275" t="s">
        <v>2436</v>
      </c>
      <c r="C603" s="275" t="s">
        <v>3831</v>
      </c>
      <c r="D603" s="168" t="s">
        <v>5686</v>
      </c>
      <c r="E603" s="168" t="s">
        <v>2362</v>
      </c>
      <c r="F603" s="168" t="s">
        <v>4623</v>
      </c>
      <c r="G603" s="168" t="s">
        <v>4623</v>
      </c>
      <c r="H603" s="292" t="s">
        <v>4623</v>
      </c>
      <c r="I603" s="293" t="s">
        <v>5687</v>
      </c>
      <c r="J603" s="293" t="s">
        <v>3507</v>
      </c>
      <c r="K603" s="290" t="s">
        <v>4623</v>
      </c>
      <c r="L603" s="290" t="s">
        <v>4623</v>
      </c>
      <c r="M603" s="290" t="s">
        <v>4623</v>
      </c>
      <c r="N603" s="290" t="s">
        <v>4623</v>
      </c>
      <c r="O603" s="290" t="s">
        <v>4623</v>
      </c>
      <c r="P603" s="290" t="s">
        <v>999</v>
      </c>
      <c r="Q603" s="291" t="s">
        <v>4623</v>
      </c>
      <c r="R603" s="276"/>
      <c r="S603" s="277">
        <f>IF(OR(C603="",C603=T$4),NA(),MATCH($B603&amp;$C603,'Smelter Reference List'!$J:$J,0))</f>
        <v>222</v>
      </c>
      <c r="T603" s="278"/>
      <c r="U603" s="278"/>
      <c r="V603" s="278"/>
      <c r="W603" s="278"/>
    </row>
    <row r="604" spans="1:23" s="269" customFormat="1" ht="20.25">
      <c r="A604" s="267"/>
      <c r="B604" s="275" t="s">
        <v>2436</v>
      </c>
      <c r="C604" s="275" t="s">
        <v>3831</v>
      </c>
      <c r="D604" s="168" t="s">
        <v>5688</v>
      </c>
      <c r="E604" s="168" t="s">
        <v>2362</v>
      </c>
      <c r="F604" s="168" t="s">
        <v>4623</v>
      </c>
      <c r="G604" s="168" t="s">
        <v>4623</v>
      </c>
      <c r="H604" s="292" t="s">
        <v>4623</v>
      </c>
      <c r="I604" s="293" t="s">
        <v>4623</v>
      </c>
      <c r="J604" s="293" t="s">
        <v>4623</v>
      </c>
      <c r="K604" s="290" t="s">
        <v>4623</v>
      </c>
      <c r="L604" s="290" t="s">
        <v>4623</v>
      </c>
      <c r="M604" s="290" t="s">
        <v>4623</v>
      </c>
      <c r="N604" s="290" t="s">
        <v>4623</v>
      </c>
      <c r="O604" s="290" t="s">
        <v>4623</v>
      </c>
      <c r="P604" s="290" t="s">
        <v>999</v>
      </c>
      <c r="Q604" s="291" t="s">
        <v>4623</v>
      </c>
      <c r="R604" s="276"/>
      <c r="S604" s="277">
        <f>IF(OR(C604="",C604=T$4),NA(),MATCH($B604&amp;$C604,'Smelter Reference List'!$J:$J,0))</f>
        <v>222</v>
      </c>
      <c r="T604" s="278"/>
      <c r="U604" s="278"/>
      <c r="V604" s="278"/>
      <c r="W604" s="278"/>
    </row>
    <row r="605" spans="1:23" s="269" customFormat="1" ht="20.25">
      <c r="A605" s="267"/>
      <c r="B605" s="275" t="s">
        <v>2436</v>
      </c>
      <c r="C605" s="275" t="s">
        <v>3831</v>
      </c>
      <c r="D605" s="168" t="s">
        <v>5689</v>
      </c>
      <c r="E605" s="168" t="s">
        <v>2362</v>
      </c>
      <c r="F605" s="168" t="s">
        <v>4623</v>
      </c>
      <c r="G605" s="168" t="s">
        <v>4623</v>
      </c>
      <c r="H605" s="292" t="s">
        <v>4623</v>
      </c>
      <c r="I605" s="293" t="s">
        <v>4623</v>
      </c>
      <c r="J605" s="293" t="s">
        <v>4623</v>
      </c>
      <c r="K605" s="290" t="s">
        <v>4623</v>
      </c>
      <c r="L605" s="290" t="s">
        <v>4623</v>
      </c>
      <c r="M605" s="290" t="s">
        <v>4623</v>
      </c>
      <c r="N605" s="290" t="s">
        <v>4623</v>
      </c>
      <c r="O605" s="290" t="s">
        <v>4623</v>
      </c>
      <c r="P605" s="290" t="s">
        <v>999</v>
      </c>
      <c r="Q605" s="291" t="s">
        <v>4623</v>
      </c>
      <c r="R605" s="276"/>
      <c r="S605" s="277">
        <f>IF(OR(C605="",C605=T$4),NA(),MATCH($B605&amp;$C605,'Smelter Reference List'!$J:$J,0))</f>
        <v>222</v>
      </c>
      <c r="T605" s="278"/>
      <c r="U605" s="278"/>
      <c r="V605" s="278"/>
      <c r="W605" s="278"/>
    </row>
    <row r="606" spans="1:23" s="269" customFormat="1" ht="20.25">
      <c r="A606" s="267"/>
      <c r="B606" s="275" t="s">
        <v>2436</v>
      </c>
      <c r="C606" s="275" t="s">
        <v>3831</v>
      </c>
      <c r="D606" s="168" t="s">
        <v>5690</v>
      </c>
      <c r="E606" s="168" t="s">
        <v>2362</v>
      </c>
      <c r="F606" s="168" t="s">
        <v>4623</v>
      </c>
      <c r="G606" s="168" t="s">
        <v>4623</v>
      </c>
      <c r="H606" s="292" t="s">
        <v>4623</v>
      </c>
      <c r="I606" s="293" t="s">
        <v>4623</v>
      </c>
      <c r="J606" s="293" t="s">
        <v>4623</v>
      </c>
      <c r="K606" s="290" t="s">
        <v>4623</v>
      </c>
      <c r="L606" s="290" t="s">
        <v>4623</v>
      </c>
      <c r="M606" s="290" t="s">
        <v>4623</v>
      </c>
      <c r="N606" s="290" t="s">
        <v>4623</v>
      </c>
      <c r="O606" s="290" t="s">
        <v>4623</v>
      </c>
      <c r="P606" s="290" t="s">
        <v>999</v>
      </c>
      <c r="Q606" s="291" t="s">
        <v>4623</v>
      </c>
      <c r="R606" s="276"/>
      <c r="S606" s="277">
        <f>IF(OR(C606="",C606=T$4),NA(),MATCH($B606&amp;$C606,'Smelter Reference List'!$J:$J,0))</f>
        <v>222</v>
      </c>
      <c r="T606" s="278"/>
      <c r="U606" s="278"/>
      <c r="V606" s="278"/>
      <c r="W606" s="278"/>
    </row>
    <row r="607" spans="1:23" s="269" customFormat="1" ht="20.25">
      <c r="A607" s="267"/>
      <c r="B607" s="275" t="s">
        <v>2436</v>
      </c>
      <c r="C607" s="275" t="s">
        <v>3831</v>
      </c>
      <c r="D607" s="168" t="s">
        <v>5691</v>
      </c>
      <c r="E607" s="168" t="s">
        <v>2362</v>
      </c>
      <c r="F607" s="168" t="s">
        <v>4623</v>
      </c>
      <c r="G607" s="168" t="s">
        <v>4623</v>
      </c>
      <c r="H607" s="292" t="s">
        <v>4623</v>
      </c>
      <c r="I607" s="293" t="s">
        <v>4623</v>
      </c>
      <c r="J607" s="293" t="s">
        <v>4623</v>
      </c>
      <c r="K607" s="290" t="s">
        <v>4623</v>
      </c>
      <c r="L607" s="290" t="s">
        <v>4623</v>
      </c>
      <c r="M607" s="290" t="s">
        <v>4623</v>
      </c>
      <c r="N607" s="290" t="s">
        <v>4623</v>
      </c>
      <c r="O607" s="290" t="s">
        <v>4623</v>
      </c>
      <c r="P607" s="290" t="s">
        <v>999</v>
      </c>
      <c r="Q607" s="291" t="s">
        <v>4623</v>
      </c>
      <c r="R607" s="276"/>
      <c r="S607" s="277">
        <f>IF(OR(C607="",C607=T$4),NA(),MATCH($B607&amp;$C607,'Smelter Reference List'!$J:$J,0))</f>
        <v>222</v>
      </c>
      <c r="T607" s="278"/>
      <c r="U607" s="278"/>
      <c r="V607" s="278"/>
      <c r="W607" s="278"/>
    </row>
    <row r="608" spans="1:23" s="269" customFormat="1" ht="20.25">
      <c r="A608" s="267"/>
      <c r="B608" s="275" t="s">
        <v>2436</v>
      </c>
      <c r="C608" s="275" t="s">
        <v>3831</v>
      </c>
      <c r="D608" s="168" t="s">
        <v>5692</v>
      </c>
      <c r="E608" s="168" t="s">
        <v>2362</v>
      </c>
      <c r="F608" s="168" t="s">
        <v>4623</v>
      </c>
      <c r="G608" s="168" t="s">
        <v>4623</v>
      </c>
      <c r="H608" s="292" t="s">
        <v>5659</v>
      </c>
      <c r="I608" s="293" t="s">
        <v>5693</v>
      </c>
      <c r="J608" s="293" t="s">
        <v>4623</v>
      </c>
      <c r="K608" s="290" t="s">
        <v>4623</v>
      </c>
      <c r="L608" s="290" t="s">
        <v>4623</v>
      </c>
      <c r="M608" s="290" t="s">
        <v>4623</v>
      </c>
      <c r="N608" s="290" t="s">
        <v>4623</v>
      </c>
      <c r="O608" s="290" t="s">
        <v>4623</v>
      </c>
      <c r="P608" s="290" t="s">
        <v>999</v>
      </c>
      <c r="Q608" s="291" t="s">
        <v>4623</v>
      </c>
      <c r="R608" s="276"/>
      <c r="S608" s="277">
        <f>IF(OR(C608="",C608=T$4),NA(),MATCH($B608&amp;$C608,'Smelter Reference List'!$J:$J,0))</f>
        <v>222</v>
      </c>
      <c r="T608" s="278"/>
      <c r="U608" s="278"/>
      <c r="V608" s="278"/>
      <c r="W608" s="278"/>
    </row>
    <row r="609" spans="1:23" s="269" customFormat="1" ht="20.25">
      <c r="A609" s="267"/>
      <c r="B609" s="275" t="s">
        <v>2436</v>
      </c>
      <c r="C609" s="275" t="s">
        <v>3831</v>
      </c>
      <c r="D609" s="168" t="s">
        <v>5694</v>
      </c>
      <c r="E609" s="168" t="s">
        <v>2362</v>
      </c>
      <c r="F609" s="168" t="s">
        <v>4623</v>
      </c>
      <c r="G609" s="168" t="s">
        <v>4623</v>
      </c>
      <c r="H609" s="292" t="s">
        <v>4623</v>
      </c>
      <c r="I609" s="293" t="s">
        <v>4623</v>
      </c>
      <c r="J609" s="293" t="s">
        <v>4623</v>
      </c>
      <c r="K609" s="290" t="s">
        <v>4623</v>
      </c>
      <c r="L609" s="290" t="s">
        <v>4623</v>
      </c>
      <c r="M609" s="290" t="s">
        <v>4623</v>
      </c>
      <c r="N609" s="290" t="s">
        <v>4623</v>
      </c>
      <c r="O609" s="290" t="s">
        <v>4623</v>
      </c>
      <c r="P609" s="290" t="s">
        <v>999</v>
      </c>
      <c r="Q609" s="291" t="s">
        <v>4623</v>
      </c>
      <c r="R609" s="276"/>
      <c r="S609" s="277">
        <f>IF(OR(C609="",C609=T$4),NA(),MATCH($B609&amp;$C609,'Smelter Reference List'!$J:$J,0))</f>
        <v>222</v>
      </c>
      <c r="T609" s="278"/>
      <c r="U609" s="278"/>
      <c r="V609" s="278"/>
      <c r="W609" s="278"/>
    </row>
    <row r="610" spans="1:23" s="269" customFormat="1" ht="20.25">
      <c r="A610" s="267"/>
      <c r="B610" s="275" t="s">
        <v>2436</v>
      </c>
      <c r="C610" s="275" t="s">
        <v>3831</v>
      </c>
      <c r="D610" s="168" t="s">
        <v>5695</v>
      </c>
      <c r="E610" s="168" t="s">
        <v>2362</v>
      </c>
      <c r="F610" s="168" t="s">
        <v>4623</v>
      </c>
      <c r="G610" s="168" t="s">
        <v>4623</v>
      </c>
      <c r="H610" s="292" t="s">
        <v>4623</v>
      </c>
      <c r="I610" s="293" t="s">
        <v>4623</v>
      </c>
      <c r="J610" s="293" t="s">
        <v>4623</v>
      </c>
      <c r="K610" s="290" t="s">
        <v>4623</v>
      </c>
      <c r="L610" s="290" t="s">
        <v>4623</v>
      </c>
      <c r="M610" s="290" t="s">
        <v>4623</v>
      </c>
      <c r="N610" s="290" t="s">
        <v>4623</v>
      </c>
      <c r="O610" s="290" t="s">
        <v>4623</v>
      </c>
      <c r="P610" s="290" t="s">
        <v>999</v>
      </c>
      <c r="Q610" s="291" t="s">
        <v>4623</v>
      </c>
      <c r="R610" s="276"/>
      <c r="S610" s="277">
        <f>IF(OR(C610="",C610=T$4),NA(),MATCH($B610&amp;$C610,'Smelter Reference List'!$J:$J,0))</f>
        <v>222</v>
      </c>
      <c r="T610" s="278"/>
      <c r="U610" s="278"/>
      <c r="V610" s="278"/>
      <c r="W610" s="278"/>
    </row>
    <row r="611" spans="1:23" s="269" customFormat="1" ht="20.25">
      <c r="A611" s="267"/>
      <c r="B611" s="275" t="s">
        <v>2436</v>
      </c>
      <c r="C611" s="275" t="s">
        <v>3831</v>
      </c>
      <c r="D611" s="168" t="s">
        <v>5696</v>
      </c>
      <c r="E611" s="168" t="s">
        <v>2362</v>
      </c>
      <c r="F611" s="168" t="s">
        <v>4623</v>
      </c>
      <c r="G611" s="168" t="s">
        <v>4623</v>
      </c>
      <c r="H611" s="292" t="s">
        <v>4623</v>
      </c>
      <c r="I611" s="293" t="s">
        <v>4623</v>
      </c>
      <c r="J611" s="293" t="s">
        <v>4623</v>
      </c>
      <c r="K611" s="290" t="s">
        <v>4623</v>
      </c>
      <c r="L611" s="290" t="s">
        <v>4623</v>
      </c>
      <c r="M611" s="290" t="s">
        <v>4623</v>
      </c>
      <c r="N611" s="290" t="s">
        <v>4623</v>
      </c>
      <c r="O611" s="290" t="s">
        <v>4623</v>
      </c>
      <c r="P611" s="290" t="s">
        <v>999</v>
      </c>
      <c r="Q611" s="291" t="s">
        <v>4623</v>
      </c>
      <c r="R611" s="276"/>
      <c r="S611" s="277">
        <f>IF(OR(C611="",C611=T$4),NA(),MATCH($B611&amp;$C611,'Smelter Reference List'!$J:$J,0))</f>
        <v>222</v>
      </c>
      <c r="T611" s="278"/>
      <c r="U611" s="278"/>
      <c r="V611" s="278"/>
      <c r="W611" s="278"/>
    </row>
    <row r="612" spans="1:23" s="269" customFormat="1" ht="20.25">
      <c r="A612" s="267"/>
      <c r="B612" s="275" t="s">
        <v>2436</v>
      </c>
      <c r="C612" s="275" t="s">
        <v>3831</v>
      </c>
      <c r="D612" s="168" t="s">
        <v>5697</v>
      </c>
      <c r="E612" s="168" t="s">
        <v>2362</v>
      </c>
      <c r="F612" s="168" t="s">
        <v>4623</v>
      </c>
      <c r="G612" s="168" t="s">
        <v>4623</v>
      </c>
      <c r="H612" s="292" t="s">
        <v>4623</v>
      </c>
      <c r="I612" s="293" t="s">
        <v>4623</v>
      </c>
      <c r="J612" s="293" t="s">
        <v>4623</v>
      </c>
      <c r="K612" s="290" t="s">
        <v>4623</v>
      </c>
      <c r="L612" s="290" t="s">
        <v>4623</v>
      </c>
      <c r="M612" s="290" t="s">
        <v>4623</v>
      </c>
      <c r="N612" s="290" t="s">
        <v>4623</v>
      </c>
      <c r="O612" s="290" t="s">
        <v>4623</v>
      </c>
      <c r="P612" s="290" t="s">
        <v>999</v>
      </c>
      <c r="Q612" s="291" t="s">
        <v>4623</v>
      </c>
      <c r="R612" s="276"/>
      <c r="S612" s="277">
        <f>IF(OR(C612="",C612=T$4),NA(),MATCH($B612&amp;$C612,'Smelter Reference List'!$J:$J,0))</f>
        <v>222</v>
      </c>
      <c r="T612" s="278"/>
      <c r="U612" s="278"/>
      <c r="V612" s="278"/>
      <c r="W612" s="278"/>
    </row>
    <row r="613" spans="1:23" s="269" customFormat="1" ht="20.25">
      <c r="A613" s="267"/>
      <c r="B613" s="275" t="s">
        <v>2436</v>
      </c>
      <c r="C613" s="275" t="s">
        <v>3831</v>
      </c>
      <c r="D613" s="168" t="s">
        <v>5698</v>
      </c>
      <c r="E613" s="168" t="s">
        <v>2362</v>
      </c>
      <c r="F613" s="168" t="s">
        <v>4623</v>
      </c>
      <c r="G613" s="168" t="s">
        <v>4623</v>
      </c>
      <c r="H613" s="292" t="s">
        <v>4623</v>
      </c>
      <c r="I613" s="293" t="s">
        <v>4623</v>
      </c>
      <c r="J613" s="293" t="s">
        <v>4623</v>
      </c>
      <c r="K613" s="290" t="s">
        <v>4623</v>
      </c>
      <c r="L613" s="290" t="s">
        <v>4623</v>
      </c>
      <c r="M613" s="290" t="s">
        <v>4623</v>
      </c>
      <c r="N613" s="290" t="s">
        <v>4623</v>
      </c>
      <c r="O613" s="290" t="s">
        <v>4623</v>
      </c>
      <c r="P613" s="290" t="s">
        <v>999</v>
      </c>
      <c r="Q613" s="291" t="s">
        <v>4623</v>
      </c>
      <c r="R613" s="276"/>
      <c r="S613" s="277">
        <f>IF(OR(C613="",C613=T$4),NA(),MATCH($B613&amp;$C613,'Smelter Reference List'!$J:$J,0))</f>
        <v>222</v>
      </c>
      <c r="T613" s="278"/>
      <c r="U613" s="278"/>
      <c r="V613" s="278"/>
      <c r="W613" s="278"/>
    </row>
    <row r="614" spans="1:23" s="269" customFormat="1" ht="20.25">
      <c r="A614" s="267"/>
      <c r="B614" s="275" t="s">
        <v>2436</v>
      </c>
      <c r="C614" s="275" t="s">
        <v>3831</v>
      </c>
      <c r="D614" s="168" t="s">
        <v>5699</v>
      </c>
      <c r="E614" s="168" t="s">
        <v>2362</v>
      </c>
      <c r="F614" s="168" t="s">
        <v>1399</v>
      </c>
      <c r="G614" s="168" t="s">
        <v>4623</v>
      </c>
      <c r="H614" s="292" t="s">
        <v>5700</v>
      </c>
      <c r="I614" s="293" t="s">
        <v>3466</v>
      </c>
      <c r="J614" s="293" t="s">
        <v>3466</v>
      </c>
      <c r="K614" s="290" t="s">
        <v>5701</v>
      </c>
      <c r="L614" s="290" t="s">
        <v>5702</v>
      </c>
      <c r="M614" s="290" t="s">
        <v>4623</v>
      </c>
      <c r="N614" s="290" t="s">
        <v>4623</v>
      </c>
      <c r="O614" s="290" t="s">
        <v>4623</v>
      </c>
      <c r="P614" s="290" t="s">
        <v>999</v>
      </c>
      <c r="Q614" s="291" t="s">
        <v>5703</v>
      </c>
      <c r="R614" s="276"/>
      <c r="S614" s="277">
        <f>IF(OR(C614="",C614=T$4),NA(),MATCH($B614&amp;$C614,'Smelter Reference List'!$J:$J,0))</f>
        <v>222</v>
      </c>
      <c r="T614" s="278"/>
      <c r="U614" s="278"/>
      <c r="V614" s="278"/>
      <c r="W614" s="278"/>
    </row>
    <row r="615" spans="1:23" s="269" customFormat="1" ht="20.25">
      <c r="A615" s="267"/>
      <c r="B615" s="275" t="s">
        <v>2436</v>
      </c>
      <c r="C615" s="275" t="s">
        <v>3831</v>
      </c>
      <c r="D615" s="168" t="s">
        <v>4552</v>
      </c>
      <c r="E615" s="168" t="s">
        <v>2362</v>
      </c>
      <c r="F615" s="168" t="s">
        <v>4623</v>
      </c>
      <c r="G615" s="168" t="s">
        <v>4623</v>
      </c>
      <c r="H615" s="292" t="s">
        <v>5704</v>
      </c>
      <c r="I615" s="293" t="s">
        <v>5705</v>
      </c>
      <c r="J615" s="293" t="s">
        <v>5706</v>
      </c>
      <c r="K615" s="290" t="s">
        <v>5707</v>
      </c>
      <c r="L615" s="290" t="s">
        <v>5708</v>
      </c>
      <c r="M615" s="290" t="s">
        <v>4623</v>
      </c>
      <c r="N615" s="290" t="s">
        <v>5709</v>
      </c>
      <c r="O615" s="290" t="s">
        <v>5710</v>
      </c>
      <c r="P615" s="290" t="s">
        <v>999</v>
      </c>
      <c r="Q615" s="291" t="s">
        <v>4623</v>
      </c>
      <c r="R615" s="276"/>
      <c r="S615" s="277">
        <f>IF(OR(C615="",C615=T$4),NA(),MATCH($B615&amp;$C615,'Smelter Reference List'!$J:$J,0))</f>
        <v>222</v>
      </c>
      <c r="T615" s="278"/>
      <c r="U615" s="278"/>
      <c r="V615" s="278"/>
      <c r="W615" s="278"/>
    </row>
    <row r="616" spans="1:23" s="269" customFormat="1" ht="20.25">
      <c r="A616" s="267"/>
      <c r="B616" s="275" t="s">
        <v>2436</v>
      </c>
      <c r="C616" s="275" t="s">
        <v>3831</v>
      </c>
      <c r="D616" s="168" t="s">
        <v>5711</v>
      </c>
      <c r="E616" s="168" t="s">
        <v>2362</v>
      </c>
      <c r="F616" s="168" t="s">
        <v>4623</v>
      </c>
      <c r="G616" s="168" t="s">
        <v>4623</v>
      </c>
      <c r="H616" s="292" t="s">
        <v>4623</v>
      </c>
      <c r="I616" s="293" t="s">
        <v>4623</v>
      </c>
      <c r="J616" s="293" t="s">
        <v>4623</v>
      </c>
      <c r="K616" s="290" t="s">
        <v>4623</v>
      </c>
      <c r="L616" s="290" t="s">
        <v>4623</v>
      </c>
      <c r="M616" s="290" t="s">
        <v>4623</v>
      </c>
      <c r="N616" s="290" t="s">
        <v>4623</v>
      </c>
      <c r="O616" s="290" t="s">
        <v>4623</v>
      </c>
      <c r="P616" s="290" t="s">
        <v>999</v>
      </c>
      <c r="Q616" s="291" t="s">
        <v>4623</v>
      </c>
      <c r="R616" s="276"/>
      <c r="S616" s="277">
        <f>IF(OR(C616="",C616=T$4),NA(),MATCH($B616&amp;$C616,'Smelter Reference List'!$J:$J,0))</f>
        <v>222</v>
      </c>
      <c r="T616" s="278"/>
      <c r="U616" s="278"/>
      <c r="V616" s="278"/>
      <c r="W616" s="278"/>
    </row>
    <row r="617" spans="1:23" s="269" customFormat="1" ht="20.25">
      <c r="A617" s="267"/>
      <c r="B617" s="275" t="s">
        <v>2436</v>
      </c>
      <c r="C617" s="275" t="s">
        <v>3831</v>
      </c>
      <c r="D617" s="168" t="s">
        <v>5712</v>
      </c>
      <c r="E617" s="168" t="s">
        <v>2362</v>
      </c>
      <c r="F617" s="168" t="s">
        <v>4623</v>
      </c>
      <c r="G617" s="168" t="s">
        <v>4623</v>
      </c>
      <c r="H617" s="292" t="s">
        <v>4623</v>
      </c>
      <c r="I617" s="293" t="s">
        <v>4623</v>
      </c>
      <c r="J617" s="293" t="s">
        <v>4623</v>
      </c>
      <c r="K617" s="290" t="s">
        <v>4623</v>
      </c>
      <c r="L617" s="290" t="s">
        <v>4623</v>
      </c>
      <c r="M617" s="290" t="s">
        <v>4623</v>
      </c>
      <c r="N617" s="290" t="s">
        <v>4623</v>
      </c>
      <c r="O617" s="290" t="s">
        <v>4623</v>
      </c>
      <c r="P617" s="290" t="s">
        <v>999</v>
      </c>
      <c r="Q617" s="291" t="s">
        <v>4623</v>
      </c>
      <c r="R617" s="276"/>
      <c r="S617" s="277">
        <f>IF(OR(C617="",C617=T$4),NA(),MATCH($B617&amp;$C617,'Smelter Reference List'!$J:$J,0))</f>
        <v>222</v>
      </c>
      <c r="T617" s="278"/>
      <c r="U617" s="278"/>
      <c r="V617" s="278"/>
      <c r="W617" s="278"/>
    </row>
    <row r="618" spans="1:23" s="269" customFormat="1" ht="20.25">
      <c r="A618" s="267"/>
      <c r="B618" s="275" t="s">
        <v>2436</v>
      </c>
      <c r="C618" s="275" t="s">
        <v>3831</v>
      </c>
      <c r="D618" s="168" t="s">
        <v>5189</v>
      </c>
      <c r="E618" s="168" t="s">
        <v>2362</v>
      </c>
      <c r="F618" s="168" t="s">
        <v>4623</v>
      </c>
      <c r="G618" s="168" t="s">
        <v>4623</v>
      </c>
      <c r="H618" s="292" t="s">
        <v>4623</v>
      </c>
      <c r="I618" s="293" t="s">
        <v>4623</v>
      </c>
      <c r="J618" s="293" t="s">
        <v>4623</v>
      </c>
      <c r="K618" s="290" t="s">
        <v>4623</v>
      </c>
      <c r="L618" s="290" t="s">
        <v>4623</v>
      </c>
      <c r="M618" s="290" t="s">
        <v>4623</v>
      </c>
      <c r="N618" s="290" t="s">
        <v>4623</v>
      </c>
      <c r="O618" s="290" t="s">
        <v>4623</v>
      </c>
      <c r="P618" s="290" t="s">
        <v>999</v>
      </c>
      <c r="Q618" s="291" t="s">
        <v>4623</v>
      </c>
      <c r="R618" s="276"/>
      <c r="S618" s="277">
        <f>IF(OR(C618="",C618=T$4),NA(),MATCH($B618&amp;$C618,'Smelter Reference List'!$J:$J,0))</f>
        <v>222</v>
      </c>
      <c r="T618" s="278"/>
      <c r="U618" s="278"/>
      <c r="V618" s="278"/>
      <c r="W618" s="278"/>
    </row>
    <row r="619" spans="1:23" s="269" customFormat="1" ht="20.25">
      <c r="A619" s="267"/>
      <c r="B619" s="275" t="s">
        <v>2436</v>
      </c>
      <c r="C619" s="275" t="s">
        <v>3831</v>
      </c>
      <c r="D619" s="168" t="s">
        <v>5713</v>
      </c>
      <c r="E619" s="168" t="s">
        <v>2362</v>
      </c>
      <c r="F619" s="168" t="s">
        <v>4623</v>
      </c>
      <c r="G619" s="168" t="s">
        <v>4623</v>
      </c>
      <c r="H619" s="292" t="s">
        <v>4623</v>
      </c>
      <c r="I619" s="293" t="s">
        <v>4623</v>
      </c>
      <c r="J619" s="293" t="s">
        <v>4623</v>
      </c>
      <c r="K619" s="290" t="s">
        <v>4623</v>
      </c>
      <c r="L619" s="290" t="s">
        <v>4623</v>
      </c>
      <c r="M619" s="290" t="s">
        <v>4623</v>
      </c>
      <c r="N619" s="290" t="s">
        <v>4623</v>
      </c>
      <c r="O619" s="290" t="s">
        <v>4623</v>
      </c>
      <c r="P619" s="290" t="s">
        <v>999</v>
      </c>
      <c r="Q619" s="291" t="s">
        <v>4623</v>
      </c>
      <c r="R619" s="276"/>
      <c r="S619" s="277">
        <f>IF(OR(C619="",C619=T$4),NA(),MATCH($B619&amp;$C619,'Smelter Reference List'!$J:$J,0))</f>
        <v>222</v>
      </c>
      <c r="T619" s="278"/>
      <c r="U619" s="278"/>
      <c r="V619" s="278"/>
      <c r="W619" s="278"/>
    </row>
    <row r="620" spans="1:23" s="269" customFormat="1" ht="20.25">
      <c r="A620" s="267"/>
      <c r="B620" s="275" t="s">
        <v>2436</v>
      </c>
      <c r="C620" s="275" t="s">
        <v>3831</v>
      </c>
      <c r="D620" s="168" t="s">
        <v>5714</v>
      </c>
      <c r="E620" s="168" t="s">
        <v>2362</v>
      </c>
      <c r="F620" s="168" t="s">
        <v>4623</v>
      </c>
      <c r="G620" s="168" t="s">
        <v>4623</v>
      </c>
      <c r="H620" s="292" t="s">
        <v>5715</v>
      </c>
      <c r="I620" s="293" t="s">
        <v>5715</v>
      </c>
      <c r="J620" s="293" t="s">
        <v>3328</v>
      </c>
      <c r="K620" s="290" t="s">
        <v>5716</v>
      </c>
      <c r="L620" s="290" t="s">
        <v>5717</v>
      </c>
      <c r="M620" s="290" t="s">
        <v>4623</v>
      </c>
      <c r="N620" s="290" t="s">
        <v>4623</v>
      </c>
      <c r="O620" s="290" t="s">
        <v>4623</v>
      </c>
      <c r="P620" s="290" t="s">
        <v>999</v>
      </c>
      <c r="Q620" s="291" t="s">
        <v>4623</v>
      </c>
      <c r="R620" s="276"/>
      <c r="S620" s="277">
        <f>IF(OR(C620="",C620=T$4),NA(),MATCH($B620&amp;$C620,'Smelter Reference List'!$J:$J,0))</f>
        <v>222</v>
      </c>
      <c r="T620" s="278"/>
      <c r="U620" s="278"/>
      <c r="V620" s="278"/>
      <c r="W620" s="278"/>
    </row>
    <row r="621" spans="1:23" s="269" customFormat="1" ht="20.25">
      <c r="A621" s="267"/>
      <c r="B621" s="275" t="s">
        <v>2436</v>
      </c>
      <c r="C621" s="275" t="s">
        <v>3831</v>
      </c>
      <c r="D621" s="168" t="s">
        <v>5718</v>
      </c>
      <c r="E621" s="168" t="s">
        <v>2362</v>
      </c>
      <c r="F621" s="168" t="s">
        <v>4623</v>
      </c>
      <c r="G621" s="168" t="s">
        <v>4623</v>
      </c>
      <c r="H621" s="292" t="s">
        <v>4623</v>
      </c>
      <c r="I621" s="293" t="s">
        <v>4623</v>
      </c>
      <c r="J621" s="293" t="s">
        <v>4623</v>
      </c>
      <c r="K621" s="290" t="s">
        <v>4623</v>
      </c>
      <c r="L621" s="290" t="s">
        <v>4623</v>
      </c>
      <c r="M621" s="290" t="s">
        <v>4623</v>
      </c>
      <c r="N621" s="290" t="s">
        <v>4623</v>
      </c>
      <c r="O621" s="290" t="s">
        <v>4623</v>
      </c>
      <c r="P621" s="290" t="s">
        <v>999</v>
      </c>
      <c r="Q621" s="291" t="s">
        <v>4623</v>
      </c>
      <c r="R621" s="276"/>
      <c r="S621" s="277">
        <f>IF(OR(C621="",C621=T$4),NA(),MATCH($B621&amp;$C621,'Smelter Reference List'!$J:$J,0))</f>
        <v>222</v>
      </c>
      <c r="T621" s="278"/>
      <c r="U621" s="278"/>
      <c r="V621" s="278"/>
      <c r="W621" s="278"/>
    </row>
    <row r="622" spans="1:23" s="269" customFormat="1" ht="20.25">
      <c r="A622" s="267"/>
      <c r="B622" s="275" t="s">
        <v>2436</v>
      </c>
      <c r="C622" s="275" t="s">
        <v>3831</v>
      </c>
      <c r="D622" s="168" t="s">
        <v>5719</v>
      </c>
      <c r="E622" s="168" t="s">
        <v>2362</v>
      </c>
      <c r="F622" s="168" t="s">
        <v>4623</v>
      </c>
      <c r="G622" s="168" t="s">
        <v>4623</v>
      </c>
      <c r="H622" s="292" t="s">
        <v>4623</v>
      </c>
      <c r="I622" s="293" t="s">
        <v>4623</v>
      </c>
      <c r="J622" s="293" t="s">
        <v>4623</v>
      </c>
      <c r="K622" s="290" t="s">
        <v>4623</v>
      </c>
      <c r="L622" s="290" t="s">
        <v>4623</v>
      </c>
      <c r="M622" s="290" t="s">
        <v>4623</v>
      </c>
      <c r="N622" s="290" t="s">
        <v>4623</v>
      </c>
      <c r="O622" s="290" t="s">
        <v>4623</v>
      </c>
      <c r="P622" s="290" t="s">
        <v>999</v>
      </c>
      <c r="Q622" s="291" t="s">
        <v>4623</v>
      </c>
      <c r="R622" s="276"/>
      <c r="S622" s="277">
        <f>IF(OR(C622="",C622=T$4),NA(),MATCH($B622&amp;$C622,'Smelter Reference List'!$J:$J,0))</f>
        <v>222</v>
      </c>
      <c r="T622" s="278"/>
      <c r="U622" s="278"/>
      <c r="V622" s="278"/>
      <c r="W622" s="278"/>
    </row>
    <row r="623" spans="1:23" s="269" customFormat="1" ht="20.25">
      <c r="A623" s="267"/>
      <c r="B623" s="275" t="s">
        <v>2436</v>
      </c>
      <c r="C623" s="275" t="s">
        <v>3831</v>
      </c>
      <c r="D623" s="168" t="s">
        <v>5720</v>
      </c>
      <c r="E623" s="168" t="s">
        <v>2362</v>
      </c>
      <c r="F623" s="168" t="s">
        <v>4623</v>
      </c>
      <c r="G623" s="168" t="s">
        <v>4623</v>
      </c>
      <c r="H623" s="292" t="s">
        <v>4623</v>
      </c>
      <c r="I623" s="293" t="s">
        <v>4623</v>
      </c>
      <c r="J623" s="293" t="s">
        <v>4623</v>
      </c>
      <c r="K623" s="290" t="s">
        <v>4623</v>
      </c>
      <c r="L623" s="290" t="s">
        <v>4623</v>
      </c>
      <c r="M623" s="290" t="s">
        <v>4623</v>
      </c>
      <c r="N623" s="290" t="s">
        <v>4623</v>
      </c>
      <c r="O623" s="290" t="s">
        <v>4623</v>
      </c>
      <c r="P623" s="290" t="s">
        <v>999</v>
      </c>
      <c r="Q623" s="291" t="s">
        <v>4623</v>
      </c>
      <c r="R623" s="276"/>
      <c r="S623" s="277">
        <f>IF(OR(C623="",C623=T$4),NA(),MATCH($B623&amp;$C623,'Smelter Reference List'!$J:$J,0))</f>
        <v>222</v>
      </c>
      <c r="T623" s="278"/>
      <c r="U623" s="278"/>
      <c r="V623" s="278"/>
      <c r="W623" s="278"/>
    </row>
    <row r="624" spans="1:23" s="269" customFormat="1" ht="20.25">
      <c r="A624" s="267"/>
      <c r="B624" s="275" t="s">
        <v>2436</v>
      </c>
      <c r="C624" s="275" t="s">
        <v>3831</v>
      </c>
      <c r="D624" s="168" t="s">
        <v>5721</v>
      </c>
      <c r="E624" s="168" t="s">
        <v>2362</v>
      </c>
      <c r="F624" s="168" t="s">
        <v>4623</v>
      </c>
      <c r="G624" s="168" t="s">
        <v>4623</v>
      </c>
      <c r="H624" s="292" t="s">
        <v>4623</v>
      </c>
      <c r="I624" s="293" t="s">
        <v>4623</v>
      </c>
      <c r="J624" s="293" t="s">
        <v>4623</v>
      </c>
      <c r="K624" s="290" t="s">
        <v>4623</v>
      </c>
      <c r="L624" s="290" t="s">
        <v>4623</v>
      </c>
      <c r="M624" s="290" t="s">
        <v>4623</v>
      </c>
      <c r="N624" s="290" t="s">
        <v>4623</v>
      </c>
      <c r="O624" s="290" t="s">
        <v>4623</v>
      </c>
      <c r="P624" s="290" t="s">
        <v>999</v>
      </c>
      <c r="Q624" s="291" t="s">
        <v>4623</v>
      </c>
      <c r="R624" s="276"/>
      <c r="S624" s="277">
        <f>IF(OR(C624="",C624=T$4),NA(),MATCH($B624&amp;$C624,'Smelter Reference List'!$J:$J,0))</f>
        <v>222</v>
      </c>
      <c r="T624" s="278"/>
      <c r="U624" s="278"/>
      <c r="V624" s="278"/>
      <c r="W624" s="278"/>
    </row>
    <row r="625" spans="1:23" s="269" customFormat="1" ht="20.25">
      <c r="A625" s="267"/>
      <c r="B625" s="275" t="s">
        <v>2436</v>
      </c>
      <c r="C625" s="275" t="s">
        <v>3831</v>
      </c>
      <c r="D625" s="168" t="s">
        <v>5722</v>
      </c>
      <c r="E625" s="168" t="s">
        <v>2362</v>
      </c>
      <c r="F625" s="168" t="s">
        <v>4623</v>
      </c>
      <c r="G625" s="168" t="s">
        <v>4623</v>
      </c>
      <c r="H625" s="292" t="s">
        <v>4623</v>
      </c>
      <c r="I625" s="293" t="s">
        <v>4623</v>
      </c>
      <c r="J625" s="293" t="s">
        <v>4623</v>
      </c>
      <c r="K625" s="290" t="s">
        <v>4623</v>
      </c>
      <c r="L625" s="290" t="s">
        <v>4623</v>
      </c>
      <c r="M625" s="290" t="s">
        <v>4623</v>
      </c>
      <c r="N625" s="290" t="s">
        <v>4623</v>
      </c>
      <c r="O625" s="290" t="s">
        <v>4623</v>
      </c>
      <c r="P625" s="290" t="s">
        <v>999</v>
      </c>
      <c r="Q625" s="291" t="s">
        <v>4623</v>
      </c>
      <c r="R625" s="276"/>
      <c r="S625" s="277">
        <f>IF(OR(C625="",C625=T$4),NA(),MATCH($B625&amp;$C625,'Smelter Reference List'!$J:$J,0))</f>
        <v>222</v>
      </c>
      <c r="T625" s="278"/>
      <c r="U625" s="278"/>
      <c r="V625" s="278"/>
      <c r="W625" s="278"/>
    </row>
    <row r="626" spans="1:23" s="269" customFormat="1" ht="20.25">
      <c r="A626" s="267"/>
      <c r="B626" s="275" t="s">
        <v>2436</v>
      </c>
      <c r="C626" s="275" t="s">
        <v>3831</v>
      </c>
      <c r="D626" s="168" t="s">
        <v>5723</v>
      </c>
      <c r="E626" s="168" t="s">
        <v>2362</v>
      </c>
      <c r="F626" s="168" t="s">
        <v>4623</v>
      </c>
      <c r="G626" s="168" t="s">
        <v>4623</v>
      </c>
      <c r="H626" s="292" t="s">
        <v>4623</v>
      </c>
      <c r="I626" s="293" t="s">
        <v>4623</v>
      </c>
      <c r="J626" s="293" t="s">
        <v>4623</v>
      </c>
      <c r="K626" s="290" t="s">
        <v>4623</v>
      </c>
      <c r="L626" s="290" t="s">
        <v>4623</v>
      </c>
      <c r="M626" s="290" t="s">
        <v>4623</v>
      </c>
      <c r="N626" s="290" t="s">
        <v>4623</v>
      </c>
      <c r="O626" s="290" t="s">
        <v>4623</v>
      </c>
      <c r="P626" s="290" t="s">
        <v>999</v>
      </c>
      <c r="Q626" s="291" t="s">
        <v>4623</v>
      </c>
      <c r="R626" s="276"/>
      <c r="S626" s="277">
        <f>IF(OR(C626="",C626=T$4),NA(),MATCH($B626&amp;$C626,'Smelter Reference List'!$J:$J,0))</f>
        <v>222</v>
      </c>
      <c r="T626" s="278"/>
      <c r="U626" s="278"/>
      <c r="V626" s="278"/>
      <c r="W626" s="278"/>
    </row>
    <row r="627" spans="1:23" s="269" customFormat="1" ht="20.25">
      <c r="A627" s="267"/>
      <c r="B627" s="275" t="s">
        <v>2436</v>
      </c>
      <c r="C627" s="275" t="s">
        <v>3831</v>
      </c>
      <c r="D627" s="168" t="s">
        <v>5724</v>
      </c>
      <c r="E627" s="168" t="s">
        <v>2362</v>
      </c>
      <c r="F627" s="168" t="s">
        <v>4623</v>
      </c>
      <c r="G627" s="168" t="s">
        <v>4623</v>
      </c>
      <c r="H627" s="292" t="s">
        <v>4623</v>
      </c>
      <c r="I627" s="293" t="s">
        <v>4623</v>
      </c>
      <c r="J627" s="293" t="s">
        <v>4623</v>
      </c>
      <c r="K627" s="290" t="s">
        <v>4623</v>
      </c>
      <c r="L627" s="290" t="s">
        <v>4623</v>
      </c>
      <c r="M627" s="290" t="s">
        <v>4623</v>
      </c>
      <c r="N627" s="290" t="s">
        <v>4623</v>
      </c>
      <c r="O627" s="290" t="s">
        <v>4623</v>
      </c>
      <c r="P627" s="290" t="s">
        <v>999</v>
      </c>
      <c r="Q627" s="291" t="s">
        <v>4623</v>
      </c>
      <c r="R627" s="276"/>
      <c r="S627" s="277">
        <f>IF(OR(C627="",C627=T$4),NA(),MATCH($B627&amp;$C627,'Smelter Reference List'!$J:$J,0))</f>
        <v>222</v>
      </c>
      <c r="T627" s="278"/>
      <c r="U627" s="278"/>
      <c r="V627" s="278"/>
      <c r="W627" s="278"/>
    </row>
    <row r="628" spans="1:23" s="269" customFormat="1" ht="20.25">
      <c r="A628" s="267"/>
      <c r="B628" s="275" t="s">
        <v>2436</v>
      </c>
      <c r="C628" s="275" t="s">
        <v>3831</v>
      </c>
      <c r="D628" s="168" t="s">
        <v>5725</v>
      </c>
      <c r="E628" s="168" t="s">
        <v>2362</v>
      </c>
      <c r="F628" s="168" t="s">
        <v>4623</v>
      </c>
      <c r="G628" s="168" t="s">
        <v>4623</v>
      </c>
      <c r="H628" s="292" t="s">
        <v>4623</v>
      </c>
      <c r="I628" s="293" t="s">
        <v>4623</v>
      </c>
      <c r="J628" s="293" t="s">
        <v>4623</v>
      </c>
      <c r="K628" s="290" t="s">
        <v>4623</v>
      </c>
      <c r="L628" s="290" t="s">
        <v>4623</v>
      </c>
      <c r="M628" s="290" t="s">
        <v>4623</v>
      </c>
      <c r="N628" s="290" t="s">
        <v>4623</v>
      </c>
      <c r="O628" s="290" t="s">
        <v>4623</v>
      </c>
      <c r="P628" s="290" t="s">
        <v>999</v>
      </c>
      <c r="Q628" s="291" t="s">
        <v>4623</v>
      </c>
      <c r="R628" s="276"/>
      <c r="S628" s="277">
        <f>IF(OR(C628="",C628=T$4),NA(),MATCH($B628&amp;$C628,'Smelter Reference List'!$J:$J,0))</f>
        <v>222</v>
      </c>
      <c r="T628" s="278"/>
      <c r="U628" s="278"/>
      <c r="V628" s="278"/>
      <c r="W628" s="278"/>
    </row>
    <row r="629" spans="1:23" s="269" customFormat="1" ht="20.25">
      <c r="A629" s="267"/>
      <c r="B629" s="275" t="s">
        <v>2436</v>
      </c>
      <c r="C629" s="275" t="s">
        <v>3831</v>
      </c>
      <c r="D629" s="168" t="s">
        <v>5726</v>
      </c>
      <c r="E629" s="168" t="s">
        <v>2362</v>
      </c>
      <c r="F629" s="168" t="s">
        <v>4623</v>
      </c>
      <c r="G629" s="168" t="s">
        <v>4623</v>
      </c>
      <c r="H629" s="292" t="s">
        <v>5727</v>
      </c>
      <c r="I629" s="293" t="s">
        <v>5728</v>
      </c>
      <c r="J629" s="293" t="s">
        <v>5729</v>
      </c>
      <c r="K629" s="290" t="s">
        <v>4623</v>
      </c>
      <c r="L629" s="290" t="s">
        <v>4623</v>
      </c>
      <c r="M629" s="290" t="s">
        <v>4623</v>
      </c>
      <c r="N629" s="290" t="s">
        <v>4623</v>
      </c>
      <c r="O629" s="290" t="s">
        <v>4623</v>
      </c>
      <c r="P629" s="290" t="s">
        <v>999</v>
      </c>
      <c r="Q629" s="291" t="s">
        <v>4623</v>
      </c>
      <c r="R629" s="276"/>
      <c r="S629" s="277">
        <f>IF(OR(C629="",C629=T$4),NA(),MATCH($B629&amp;$C629,'Smelter Reference List'!$J:$J,0))</f>
        <v>222</v>
      </c>
      <c r="T629" s="278"/>
      <c r="U629" s="278"/>
      <c r="V629" s="278"/>
      <c r="W629" s="278"/>
    </row>
    <row r="630" spans="1:23" s="269" customFormat="1" ht="20.25">
      <c r="A630" s="267"/>
      <c r="B630" s="275" t="s">
        <v>2436</v>
      </c>
      <c r="C630" s="275" t="s">
        <v>3831</v>
      </c>
      <c r="D630" s="168" t="s">
        <v>5730</v>
      </c>
      <c r="E630" s="168" t="s">
        <v>2362</v>
      </c>
      <c r="F630" s="168" t="s">
        <v>4623</v>
      </c>
      <c r="G630" s="168" t="s">
        <v>4623</v>
      </c>
      <c r="H630" s="292" t="s">
        <v>4623</v>
      </c>
      <c r="I630" s="293" t="s">
        <v>4623</v>
      </c>
      <c r="J630" s="293" t="s">
        <v>4623</v>
      </c>
      <c r="K630" s="290" t="s">
        <v>4623</v>
      </c>
      <c r="L630" s="290" t="s">
        <v>4623</v>
      </c>
      <c r="M630" s="290" t="s">
        <v>4623</v>
      </c>
      <c r="N630" s="290" t="s">
        <v>4623</v>
      </c>
      <c r="O630" s="290" t="s">
        <v>5731</v>
      </c>
      <c r="P630" s="290" t="s">
        <v>999</v>
      </c>
      <c r="Q630" s="291" t="s">
        <v>4623</v>
      </c>
      <c r="R630" s="276"/>
      <c r="S630" s="277">
        <f>IF(OR(C630="",C630=T$4),NA(),MATCH($B630&amp;$C630,'Smelter Reference List'!$J:$J,0))</f>
        <v>222</v>
      </c>
      <c r="T630" s="278"/>
      <c r="U630" s="278"/>
      <c r="V630" s="278"/>
      <c r="W630" s="278"/>
    </row>
    <row r="631" spans="1:23" s="269" customFormat="1" ht="20.25">
      <c r="A631" s="267"/>
      <c r="B631" s="275" t="s">
        <v>2436</v>
      </c>
      <c r="C631" s="275" t="s">
        <v>3831</v>
      </c>
      <c r="D631" s="168" t="s">
        <v>5732</v>
      </c>
      <c r="E631" s="168" t="s">
        <v>2362</v>
      </c>
      <c r="F631" s="168" t="s">
        <v>4623</v>
      </c>
      <c r="G631" s="168" t="s">
        <v>4623</v>
      </c>
      <c r="H631" s="292" t="s">
        <v>5733</v>
      </c>
      <c r="I631" s="293" t="s">
        <v>5734</v>
      </c>
      <c r="J631" s="293" t="s">
        <v>4623</v>
      </c>
      <c r="K631" s="290" t="s">
        <v>5735</v>
      </c>
      <c r="L631" s="290" t="s">
        <v>5736</v>
      </c>
      <c r="M631" s="290" t="s">
        <v>4623</v>
      </c>
      <c r="N631" s="290" t="s">
        <v>4623</v>
      </c>
      <c r="O631" s="290" t="s">
        <v>4623</v>
      </c>
      <c r="P631" s="290" t="s">
        <v>999</v>
      </c>
      <c r="Q631" s="291" t="s">
        <v>4623</v>
      </c>
      <c r="R631" s="276"/>
      <c r="S631" s="277">
        <f>IF(OR(C631="",C631=T$4),NA(),MATCH($B631&amp;$C631,'Smelter Reference List'!$J:$J,0))</f>
        <v>222</v>
      </c>
      <c r="T631" s="278"/>
      <c r="U631" s="278"/>
      <c r="V631" s="278"/>
      <c r="W631" s="278"/>
    </row>
    <row r="632" spans="1:23" s="269" customFormat="1" ht="20.25">
      <c r="A632" s="267"/>
      <c r="B632" s="275" t="s">
        <v>2436</v>
      </c>
      <c r="C632" s="275" t="s">
        <v>3831</v>
      </c>
      <c r="D632" s="168" t="s">
        <v>5737</v>
      </c>
      <c r="E632" s="168" t="s">
        <v>2362</v>
      </c>
      <c r="F632" s="168" t="s">
        <v>4623</v>
      </c>
      <c r="G632" s="168" t="s">
        <v>4623</v>
      </c>
      <c r="H632" s="292" t="s">
        <v>5738</v>
      </c>
      <c r="I632" s="293" t="s">
        <v>5739</v>
      </c>
      <c r="J632" s="293" t="s">
        <v>5740</v>
      </c>
      <c r="K632" s="290" t="s">
        <v>5741</v>
      </c>
      <c r="L632" s="290" t="s">
        <v>5742</v>
      </c>
      <c r="M632" s="290" t="s">
        <v>4623</v>
      </c>
      <c r="N632" s="290" t="s">
        <v>4628</v>
      </c>
      <c r="O632" s="290" t="s">
        <v>4628</v>
      </c>
      <c r="P632" s="290" t="s">
        <v>999</v>
      </c>
      <c r="Q632" s="291" t="s">
        <v>4623</v>
      </c>
      <c r="R632" s="276"/>
      <c r="S632" s="277">
        <f>IF(OR(C632="",C632=T$4),NA(),MATCH($B632&amp;$C632,'Smelter Reference List'!$J:$J,0))</f>
        <v>222</v>
      </c>
      <c r="T632" s="278"/>
      <c r="U632" s="278"/>
      <c r="V632" s="278"/>
      <c r="W632" s="278"/>
    </row>
    <row r="633" spans="1:23" s="269" customFormat="1" ht="20.25">
      <c r="A633" s="267"/>
      <c r="B633" s="275" t="s">
        <v>2436</v>
      </c>
      <c r="C633" s="275" t="s">
        <v>3831</v>
      </c>
      <c r="D633" s="168" t="s">
        <v>3512</v>
      </c>
      <c r="E633" s="168" t="s">
        <v>2362</v>
      </c>
      <c r="F633" s="168" t="s">
        <v>4623</v>
      </c>
      <c r="G633" s="168" t="s">
        <v>4623</v>
      </c>
      <c r="H633" s="292" t="s">
        <v>4623</v>
      </c>
      <c r="I633" s="293" t="s">
        <v>4623</v>
      </c>
      <c r="J633" s="293" t="s">
        <v>4623</v>
      </c>
      <c r="K633" s="290" t="s">
        <v>4623</v>
      </c>
      <c r="L633" s="290" t="s">
        <v>4623</v>
      </c>
      <c r="M633" s="290" t="s">
        <v>4623</v>
      </c>
      <c r="N633" s="290" t="s">
        <v>4623</v>
      </c>
      <c r="O633" s="290" t="s">
        <v>4623</v>
      </c>
      <c r="P633" s="290" t="s">
        <v>999</v>
      </c>
      <c r="Q633" s="291" t="s">
        <v>4623</v>
      </c>
      <c r="R633" s="276"/>
      <c r="S633" s="277">
        <f>IF(OR(C633="",C633=T$4),NA(),MATCH($B633&amp;$C633,'Smelter Reference List'!$J:$J,0))</f>
        <v>222</v>
      </c>
      <c r="T633" s="278"/>
      <c r="U633" s="278"/>
      <c r="V633" s="278"/>
      <c r="W633" s="278"/>
    </row>
    <row r="634" spans="1:23" s="269" customFormat="1" ht="20.25">
      <c r="A634" s="267"/>
      <c r="B634" s="275" t="s">
        <v>2436</v>
      </c>
      <c r="C634" s="275" t="s">
        <v>3831</v>
      </c>
      <c r="D634" s="168" t="s">
        <v>5743</v>
      </c>
      <c r="E634" s="168" t="s">
        <v>2362</v>
      </c>
      <c r="F634" s="168" t="s">
        <v>4623</v>
      </c>
      <c r="G634" s="168" t="s">
        <v>4623</v>
      </c>
      <c r="H634" s="292" t="s">
        <v>4623</v>
      </c>
      <c r="I634" s="293" t="s">
        <v>4623</v>
      </c>
      <c r="J634" s="293" t="s">
        <v>4623</v>
      </c>
      <c r="K634" s="290" t="s">
        <v>4623</v>
      </c>
      <c r="L634" s="290" t="s">
        <v>4623</v>
      </c>
      <c r="M634" s="290" t="s">
        <v>4623</v>
      </c>
      <c r="N634" s="290" t="s">
        <v>4623</v>
      </c>
      <c r="O634" s="290" t="s">
        <v>4623</v>
      </c>
      <c r="P634" s="290" t="s">
        <v>999</v>
      </c>
      <c r="Q634" s="291" t="s">
        <v>4623</v>
      </c>
      <c r="R634" s="276"/>
      <c r="S634" s="277">
        <f>IF(OR(C634="",C634=T$4),NA(),MATCH($B634&amp;$C634,'Smelter Reference List'!$J:$J,0))</f>
        <v>222</v>
      </c>
      <c r="T634" s="278"/>
      <c r="U634" s="278"/>
      <c r="V634" s="278"/>
      <c r="W634" s="278"/>
    </row>
    <row r="635" spans="1:23" s="269" customFormat="1" ht="20.25">
      <c r="A635" s="267"/>
      <c r="B635" s="275" t="s">
        <v>2436</v>
      </c>
      <c r="C635" s="275" t="s">
        <v>3831</v>
      </c>
      <c r="D635" s="168" t="s">
        <v>5744</v>
      </c>
      <c r="E635" s="168" t="s">
        <v>2362</v>
      </c>
      <c r="F635" s="168" t="s">
        <v>4623</v>
      </c>
      <c r="G635" s="168" t="s">
        <v>4623</v>
      </c>
      <c r="H635" s="292" t="s">
        <v>5745</v>
      </c>
      <c r="I635" s="293" t="s">
        <v>3515</v>
      </c>
      <c r="J635" s="293" t="s">
        <v>3382</v>
      </c>
      <c r="K635" s="290" t="s">
        <v>5746</v>
      </c>
      <c r="L635" s="290" t="s">
        <v>5747</v>
      </c>
      <c r="M635" s="290" t="s">
        <v>4623</v>
      </c>
      <c r="N635" s="290" t="s">
        <v>4671</v>
      </c>
      <c r="O635" s="290" t="s">
        <v>4671</v>
      </c>
      <c r="P635" s="290" t="s">
        <v>999</v>
      </c>
      <c r="Q635" s="291" t="s">
        <v>4623</v>
      </c>
      <c r="R635" s="276"/>
      <c r="S635" s="277">
        <f>IF(OR(C635="",C635=T$4),NA(),MATCH($B635&amp;$C635,'Smelter Reference List'!$J:$J,0))</f>
        <v>222</v>
      </c>
      <c r="T635" s="278"/>
      <c r="U635" s="278"/>
      <c r="V635" s="278"/>
      <c r="W635" s="278"/>
    </row>
    <row r="636" spans="1:23" s="269" customFormat="1" ht="20.25">
      <c r="A636" s="267"/>
      <c r="B636" s="275" t="s">
        <v>2436</v>
      </c>
      <c r="C636" s="275" t="s">
        <v>3831</v>
      </c>
      <c r="D636" s="168" t="s">
        <v>5748</v>
      </c>
      <c r="E636" s="168" t="s">
        <v>2362</v>
      </c>
      <c r="F636" s="168" t="s">
        <v>4623</v>
      </c>
      <c r="G636" s="168" t="s">
        <v>4623</v>
      </c>
      <c r="H636" s="292" t="s">
        <v>4623</v>
      </c>
      <c r="I636" s="293" t="s">
        <v>4623</v>
      </c>
      <c r="J636" s="293" t="s">
        <v>4623</v>
      </c>
      <c r="K636" s="290" t="s">
        <v>4623</v>
      </c>
      <c r="L636" s="290" t="s">
        <v>4623</v>
      </c>
      <c r="M636" s="290" t="s">
        <v>4623</v>
      </c>
      <c r="N636" s="290" t="s">
        <v>4623</v>
      </c>
      <c r="O636" s="290" t="s">
        <v>4623</v>
      </c>
      <c r="P636" s="290" t="s">
        <v>999</v>
      </c>
      <c r="Q636" s="291" t="s">
        <v>4623</v>
      </c>
      <c r="R636" s="276"/>
      <c r="S636" s="277">
        <f>IF(OR(C636="",C636=T$4),NA(),MATCH($B636&amp;$C636,'Smelter Reference List'!$J:$J,0))</f>
        <v>222</v>
      </c>
      <c r="T636" s="278"/>
      <c r="U636" s="278"/>
      <c r="V636" s="278"/>
      <c r="W636" s="278"/>
    </row>
    <row r="637" spans="1:23" s="269" customFormat="1" ht="20.25">
      <c r="A637" s="267"/>
      <c r="B637" s="275" t="s">
        <v>2436</v>
      </c>
      <c r="C637" s="275" t="s">
        <v>3831</v>
      </c>
      <c r="D637" s="168" t="s">
        <v>5749</v>
      </c>
      <c r="E637" s="168" t="s">
        <v>2362</v>
      </c>
      <c r="F637" s="168" t="s">
        <v>4623</v>
      </c>
      <c r="G637" s="168" t="s">
        <v>4623</v>
      </c>
      <c r="H637" s="292" t="s">
        <v>4623</v>
      </c>
      <c r="I637" s="293" t="s">
        <v>4623</v>
      </c>
      <c r="J637" s="293" t="s">
        <v>4623</v>
      </c>
      <c r="K637" s="290" t="s">
        <v>4623</v>
      </c>
      <c r="L637" s="290" t="s">
        <v>4623</v>
      </c>
      <c r="M637" s="290" t="s">
        <v>4623</v>
      </c>
      <c r="N637" s="290" t="s">
        <v>4623</v>
      </c>
      <c r="O637" s="290" t="s">
        <v>4623</v>
      </c>
      <c r="P637" s="290" t="s">
        <v>999</v>
      </c>
      <c r="Q637" s="291" t="s">
        <v>4623</v>
      </c>
      <c r="R637" s="276"/>
      <c r="S637" s="277">
        <f>IF(OR(C637="",C637=T$4),NA(),MATCH($B637&amp;$C637,'Smelter Reference List'!$J:$J,0))</f>
        <v>222</v>
      </c>
      <c r="T637" s="278"/>
      <c r="U637" s="278"/>
      <c r="V637" s="278"/>
      <c r="W637" s="278"/>
    </row>
    <row r="638" spans="1:23" s="269" customFormat="1" ht="20.25">
      <c r="A638" s="267"/>
      <c r="B638" s="275" t="s">
        <v>2436</v>
      </c>
      <c r="C638" s="275" t="s">
        <v>3831</v>
      </c>
      <c r="D638" s="168" t="s">
        <v>5750</v>
      </c>
      <c r="E638" s="168" t="s">
        <v>2362</v>
      </c>
      <c r="F638" s="168" t="s">
        <v>4623</v>
      </c>
      <c r="G638" s="168" t="s">
        <v>4623</v>
      </c>
      <c r="H638" s="292" t="s">
        <v>4623</v>
      </c>
      <c r="I638" s="293" t="s">
        <v>4623</v>
      </c>
      <c r="J638" s="293" t="s">
        <v>4623</v>
      </c>
      <c r="K638" s="290" t="s">
        <v>4623</v>
      </c>
      <c r="L638" s="290" t="s">
        <v>4623</v>
      </c>
      <c r="M638" s="290" t="s">
        <v>4623</v>
      </c>
      <c r="N638" s="290" t="s">
        <v>4623</v>
      </c>
      <c r="O638" s="290" t="s">
        <v>4623</v>
      </c>
      <c r="P638" s="290" t="s">
        <v>999</v>
      </c>
      <c r="Q638" s="291" t="s">
        <v>4623</v>
      </c>
      <c r="R638" s="276"/>
      <c r="S638" s="277">
        <f>IF(OR(C638="",C638=T$4),NA(),MATCH($B638&amp;$C638,'Smelter Reference List'!$J:$J,0))</f>
        <v>222</v>
      </c>
      <c r="T638" s="278"/>
      <c r="U638" s="278"/>
      <c r="V638" s="278"/>
      <c r="W638" s="278"/>
    </row>
    <row r="639" spans="1:23" s="269" customFormat="1" ht="20.25">
      <c r="A639" s="267"/>
      <c r="B639" s="275" t="s">
        <v>2436</v>
      </c>
      <c r="C639" s="275" t="s">
        <v>3831</v>
      </c>
      <c r="D639" s="168" t="s">
        <v>5751</v>
      </c>
      <c r="E639" s="168" t="s">
        <v>2362</v>
      </c>
      <c r="F639" s="168" t="s">
        <v>4623</v>
      </c>
      <c r="G639" s="168" t="s">
        <v>4623</v>
      </c>
      <c r="H639" s="292" t="s">
        <v>4623</v>
      </c>
      <c r="I639" s="293" t="s">
        <v>4623</v>
      </c>
      <c r="J639" s="293" t="s">
        <v>4623</v>
      </c>
      <c r="K639" s="290" t="s">
        <v>4623</v>
      </c>
      <c r="L639" s="290" t="s">
        <v>4623</v>
      </c>
      <c r="M639" s="290" t="s">
        <v>4623</v>
      </c>
      <c r="N639" s="290" t="s">
        <v>4623</v>
      </c>
      <c r="O639" s="290" t="s">
        <v>4623</v>
      </c>
      <c r="P639" s="290" t="s">
        <v>999</v>
      </c>
      <c r="Q639" s="291" t="s">
        <v>4623</v>
      </c>
      <c r="R639" s="276"/>
      <c r="S639" s="277">
        <f>IF(OR(C639="",C639=T$4),NA(),MATCH($B639&amp;$C639,'Smelter Reference List'!$J:$J,0))</f>
        <v>222</v>
      </c>
      <c r="T639" s="278"/>
      <c r="U639" s="278"/>
      <c r="V639" s="278"/>
      <c r="W639" s="278"/>
    </row>
    <row r="640" spans="1:23" s="269" customFormat="1" ht="20.25">
      <c r="A640" s="267"/>
      <c r="B640" s="275" t="s">
        <v>2436</v>
      </c>
      <c r="C640" s="275" t="s">
        <v>3831</v>
      </c>
      <c r="D640" s="168" t="s">
        <v>5752</v>
      </c>
      <c r="E640" s="168" t="s">
        <v>2362</v>
      </c>
      <c r="F640" s="168" t="s">
        <v>4623</v>
      </c>
      <c r="G640" s="168" t="s">
        <v>4623</v>
      </c>
      <c r="H640" s="292" t="s">
        <v>4623</v>
      </c>
      <c r="I640" s="293" t="s">
        <v>4623</v>
      </c>
      <c r="J640" s="293" t="s">
        <v>4623</v>
      </c>
      <c r="K640" s="290" t="s">
        <v>4623</v>
      </c>
      <c r="L640" s="290" t="s">
        <v>4623</v>
      </c>
      <c r="M640" s="290" t="s">
        <v>4623</v>
      </c>
      <c r="N640" s="290" t="s">
        <v>4623</v>
      </c>
      <c r="O640" s="290" t="s">
        <v>4623</v>
      </c>
      <c r="P640" s="290" t="s">
        <v>999</v>
      </c>
      <c r="Q640" s="291" t="s">
        <v>4623</v>
      </c>
      <c r="R640" s="276"/>
      <c r="S640" s="277">
        <f>IF(OR(C640="",C640=T$4),NA(),MATCH($B640&amp;$C640,'Smelter Reference List'!$J:$J,0))</f>
        <v>222</v>
      </c>
      <c r="T640" s="278"/>
      <c r="U640" s="278"/>
      <c r="V640" s="278"/>
      <c r="W640" s="278"/>
    </row>
    <row r="641" spans="1:23" s="269" customFormat="1" ht="20.25">
      <c r="A641" s="267"/>
      <c r="B641" s="275" t="s">
        <v>2436</v>
      </c>
      <c r="C641" s="275" t="s">
        <v>3831</v>
      </c>
      <c r="D641" s="168" t="s">
        <v>5753</v>
      </c>
      <c r="E641" s="168" t="s">
        <v>2362</v>
      </c>
      <c r="F641" s="168" t="s">
        <v>4623</v>
      </c>
      <c r="G641" s="168" t="s">
        <v>4623</v>
      </c>
      <c r="H641" s="292" t="s">
        <v>5754</v>
      </c>
      <c r="I641" s="293" t="s">
        <v>5755</v>
      </c>
      <c r="J641" s="293" t="s">
        <v>5756</v>
      </c>
      <c r="K641" s="290" t="s">
        <v>5757</v>
      </c>
      <c r="L641" s="290" t="s">
        <v>5758</v>
      </c>
      <c r="M641" s="290" t="s">
        <v>4623</v>
      </c>
      <c r="N641" s="290" t="s">
        <v>4628</v>
      </c>
      <c r="O641" s="290" t="s">
        <v>4628</v>
      </c>
      <c r="P641" s="290" t="s">
        <v>999</v>
      </c>
      <c r="Q641" s="291" t="s">
        <v>4623</v>
      </c>
      <c r="R641" s="276"/>
      <c r="S641" s="277">
        <f>IF(OR(C641="",C641=T$4),NA(),MATCH($B641&amp;$C641,'Smelter Reference List'!$J:$J,0))</f>
        <v>222</v>
      </c>
      <c r="T641" s="278"/>
      <c r="U641" s="278"/>
      <c r="V641" s="278"/>
      <c r="W641" s="278"/>
    </row>
    <row r="642" spans="1:23" s="269" customFormat="1" ht="20.25">
      <c r="A642" s="267"/>
      <c r="B642" s="275" t="s">
        <v>2436</v>
      </c>
      <c r="C642" s="275" t="s">
        <v>3831</v>
      </c>
      <c r="D642" s="168" t="s">
        <v>5759</v>
      </c>
      <c r="E642" s="168" t="s">
        <v>2361</v>
      </c>
      <c r="F642" s="168" t="s">
        <v>4623</v>
      </c>
      <c r="G642" s="168" t="s">
        <v>4623</v>
      </c>
      <c r="H642" s="292" t="s">
        <v>4623</v>
      </c>
      <c r="I642" s="293" t="s">
        <v>4623</v>
      </c>
      <c r="J642" s="293" t="s">
        <v>4623</v>
      </c>
      <c r="K642" s="290" t="s">
        <v>4623</v>
      </c>
      <c r="L642" s="290" t="s">
        <v>4623</v>
      </c>
      <c r="M642" s="290" t="s">
        <v>4623</v>
      </c>
      <c r="N642" s="290" t="s">
        <v>4623</v>
      </c>
      <c r="O642" s="290" t="s">
        <v>4623</v>
      </c>
      <c r="P642" s="290" t="s">
        <v>999</v>
      </c>
      <c r="Q642" s="291" t="s">
        <v>4623</v>
      </c>
      <c r="R642" s="276"/>
      <c r="S642" s="277">
        <f>IF(OR(C642="",C642=T$4),NA(),MATCH($B642&amp;$C642,'Smelter Reference List'!$J:$J,0))</f>
        <v>222</v>
      </c>
      <c r="T642" s="278"/>
      <c r="U642" s="278"/>
      <c r="V642" s="278"/>
      <c r="W642" s="278"/>
    </row>
    <row r="643" spans="1:23" s="269" customFormat="1" ht="20.25">
      <c r="A643" s="267"/>
      <c r="B643" s="275" t="s">
        <v>2436</v>
      </c>
      <c r="C643" s="275" t="s">
        <v>3831</v>
      </c>
      <c r="D643" s="168" t="s">
        <v>3330</v>
      </c>
      <c r="E643" s="168" t="s">
        <v>2363</v>
      </c>
      <c r="F643" s="168" t="s">
        <v>4623</v>
      </c>
      <c r="G643" s="168" t="s">
        <v>4623</v>
      </c>
      <c r="H643" s="292" t="s">
        <v>4623</v>
      </c>
      <c r="I643" s="293" t="s">
        <v>4623</v>
      </c>
      <c r="J643" s="293" t="s">
        <v>4623</v>
      </c>
      <c r="K643" s="290" t="s">
        <v>4623</v>
      </c>
      <c r="L643" s="290" t="s">
        <v>4623</v>
      </c>
      <c r="M643" s="290" t="s">
        <v>4623</v>
      </c>
      <c r="N643" s="290" t="s">
        <v>4623</v>
      </c>
      <c r="O643" s="290" t="s">
        <v>4623</v>
      </c>
      <c r="P643" s="290" t="s">
        <v>999</v>
      </c>
      <c r="Q643" s="291" t="s">
        <v>4623</v>
      </c>
      <c r="R643" s="276"/>
      <c r="S643" s="277">
        <f>IF(OR(C643="",C643=T$4),NA(),MATCH($B643&amp;$C643,'Smelter Reference List'!$J:$J,0))</f>
        <v>222</v>
      </c>
      <c r="T643" s="278"/>
      <c r="U643" s="278"/>
      <c r="V643" s="278"/>
      <c r="W643" s="278"/>
    </row>
    <row r="644" spans="1:23" s="269" customFormat="1" ht="20.25">
      <c r="A644" s="267"/>
      <c r="B644" s="275" t="s">
        <v>2436</v>
      </c>
      <c r="C644" s="275" t="s">
        <v>3831</v>
      </c>
      <c r="D644" s="168" t="s">
        <v>1893</v>
      </c>
      <c r="E644" s="168" t="s">
        <v>2363</v>
      </c>
      <c r="F644" s="168" t="s">
        <v>4623</v>
      </c>
      <c r="G644" s="168" t="s">
        <v>4623</v>
      </c>
      <c r="H644" s="292" t="s">
        <v>4623</v>
      </c>
      <c r="I644" s="293" t="s">
        <v>4623</v>
      </c>
      <c r="J644" s="293" t="s">
        <v>4623</v>
      </c>
      <c r="K644" s="290" t="s">
        <v>4623</v>
      </c>
      <c r="L644" s="290" t="s">
        <v>4623</v>
      </c>
      <c r="M644" s="290" t="s">
        <v>4623</v>
      </c>
      <c r="N644" s="290" t="s">
        <v>4623</v>
      </c>
      <c r="O644" s="290" t="s">
        <v>4623</v>
      </c>
      <c r="P644" s="290" t="s">
        <v>999</v>
      </c>
      <c r="Q644" s="291" t="s">
        <v>4623</v>
      </c>
      <c r="R644" s="276"/>
      <c r="S644" s="277">
        <f>IF(OR(C644="",C644=T$4),NA(),MATCH($B644&amp;$C644,'Smelter Reference List'!$J:$J,0))</f>
        <v>222</v>
      </c>
      <c r="T644" s="278"/>
      <c r="U644" s="278"/>
      <c r="V644" s="278"/>
      <c r="W644" s="278"/>
    </row>
    <row r="645" spans="1:23" s="269" customFormat="1" ht="20.25">
      <c r="A645" s="267"/>
      <c r="B645" s="275" t="s">
        <v>2436</v>
      </c>
      <c r="C645" s="275" t="s">
        <v>3831</v>
      </c>
      <c r="D645" s="168" t="s">
        <v>5762</v>
      </c>
      <c r="E645" s="168" t="s">
        <v>2402</v>
      </c>
      <c r="F645" s="168" t="s">
        <v>4623</v>
      </c>
      <c r="G645" s="168" t="s">
        <v>4623</v>
      </c>
      <c r="H645" s="292" t="s">
        <v>4623</v>
      </c>
      <c r="I645" s="293" t="s">
        <v>4623</v>
      </c>
      <c r="J645" s="293" t="s">
        <v>4623</v>
      </c>
      <c r="K645" s="290" t="s">
        <v>4623</v>
      </c>
      <c r="L645" s="290" t="s">
        <v>4623</v>
      </c>
      <c r="M645" s="290" t="s">
        <v>4623</v>
      </c>
      <c r="N645" s="290" t="s">
        <v>4623</v>
      </c>
      <c r="O645" s="290" t="s">
        <v>4623</v>
      </c>
      <c r="P645" s="290" t="s">
        <v>999</v>
      </c>
      <c r="Q645" s="291" t="s">
        <v>4623</v>
      </c>
      <c r="R645" s="276"/>
      <c r="S645" s="277">
        <f>IF(OR(C645="",C645=T$4),NA(),MATCH($B645&amp;$C645,'Smelter Reference List'!$J:$J,0))</f>
        <v>222</v>
      </c>
      <c r="T645" s="278"/>
      <c r="U645" s="278"/>
      <c r="V645" s="278"/>
      <c r="W645" s="278"/>
    </row>
    <row r="646" spans="1:23" s="269" customFormat="1" ht="20.25">
      <c r="A646" s="267"/>
      <c r="B646" s="275" t="s">
        <v>2436</v>
      </c>
      <c r="C646" s="275" t="s">
        <v>3831</v>
      </c>
      <c r="D646" s="168" t="s">
        <v>5763</v>
      </c>
      <c r="E646" s="168" t="s">
        <v>2402</v>
      </c>
      <c r="F646" s="168" t="s">
        <v>4623</v>
      </c>
      <c r="G646" s="168" t="s">
        <v>4623</v>
      </c>
      <c r="H646" s="292" t="s">
        <v>4623</v>
      </c>
      <c r="I646" s="293" t="s">
        <v>4623</v>
      </c>
      <c r="J646" s="293" t="s">
        <v>4623</v>
      </c>
      <c r="K646" s="290" t="s">
        <v>4623</v>
      </c>
      <c r="L646" s="290" t="s">
        <v>4623</v>
      </c>
      <c r="M646" s="290" t="s">
        <v>4623</v>
      </c>
      <c r="N646" s="290" t="s">
        <v>4623</v>
      </c>
      <c r="O646" s="290" t="s">
        <v>4623</v>
      </c>
      <c r="P646" s="290" t="s">
        <v>999</v>
      </c>
      <c r="Q646" s="291" t="s">
        <v>4623</v>
      </c>
      <c r="R646" s="276"/>
      <c r="S646" s="277">
        <f>IF(OR(C646="",C646=T$4),NA(),MATCH($B646&amp;$C646,'Smelter Reference List'!$J:$J,0))</f>
        <v>222</v>
      </c>
      <c r="T646" s="278"/>
      <c r="U646" s="278"/>
      <c r="V646" s="278"/>
      <c r="W646" s="278"/>
    </row>
    <row r="647" spans="1:23" s="269" customFormat="1" ht="20.25">
      <c r="A647" s="267"/>
      <c r="B647" s="275" t="s">
        <v>2436</v>
      </c>
      <c r="C647" s="275" t="s">
        <v>3831</v>
      </c>
      <c r="D647" s="168" t="s">
        <v>5764</v>
      </c>
      <c r="E647" s="168" t="s">
        <v>2402</v>
      </c>
      <c r="F647" s="168" t="s">
        <v>4623</v>
      </c>
      <c r="G647" s="168" t="s">
        <v>4623</v>
      </c>
      <c r="H647" s="292" t="s">
        <v>5765</v>
      </c>
      <c r="I647" s="293" t="s">
        <v>3697</v>
      </c>
      <c r="J647" s="293" t="s">
        <v>3698</v>
      </c>
      <c r="K647" s="290" t="s">
        <v>4623</v>
      </c>
      <c r="L647" s="290" t="s">
        <v>5766</v>
      </c>
      <c r="M647" s="290" t="s">
        <v>5767</v>
      </c>
      <c r="N647" s="290" t="s">
        <v>5538</v>
      </c>
      <c r="O647" s="290" t="s">
        <v>5538</v>
      </c>
      <c r="P647" s="290" t="s">
        <v>999</v>
      </c>
      <c r="Q647" s="291" t="s">
        <v>4623</v>
      </c>
      <c r="R647" s="276"/>
      <c r="S647" s="277">
        <f>IF(OR(C647="",C647=T$4),NA(),MATCH($B647&amp;$C647,'Smelter Reference List'!$J:$J,0))</f>
        <v>222</v>
      </c>
      <c r="T647" s="278"/>
      <c r="U647" s="278"/>
      <c r="V647" s="278"/>
      <c r="W647" s="278"/>
    </row>
    <row r="648" spans="1:23" s="269" customFormat="1" ht="20.25">
      <c r="A648" s="267"/>
      <c r="B648" s="275" t="s">
        <v>2436</v>
      </c>
      <c r="C648" s="275" t="s">
        <v>3831</v>
      </c>
      <c r="D648" s="168" t="s">
        <v>5768</v>
      </c>
      <c r="E648" s="168" t="s">
        <v>2402</v>
      </c>
      <c r="F648" s="168" t="s">
        <v>4623</v>
      </c>
      <c r="G648" s="168" t="s">
        <v>4623</v>
      </c>
      <c r="H648" s="292" t="s">
        <v>4623</v>
      </c>
      <c r="I648" s="293" t="s">
        <v>4623</v>
      </c>
      <c r="J648" s="293" t="s">
        <v>4623</v>
      </c>
      <c r="K648" s="290" t="s">
        <v>4623</v>
      </c>
      <c r="L648" s="290" t="s">
        <v>4623</v>
      </c>
      <c r="M648" s="290" t="s">
        <v>4623</v>
      </c>
      <c r="N648" s="290" t="s">
        <v>4623</v>
      </c>
      <c r="O648" s="290" t="s">
        <v>4623</v>
      </c>
      <c r="P648" s="290" t="s">
        <v>999</v>
      </c>
      <c r="Q648" s="291" t="s">
        <v>4623</v>
      </c>
      <c r="R648" s="276"/>
      <c r="S648" s="277">
        <f>IF(OR(C648="",C648=T$4),NA(),MATCH($B648&amp;$C648,'Smelter Reference List'!$J:$J,0))</f>
        <v>222</v>
      </c>
      <c r="T648" s="278"/>
      <c r="U648" s="278"/>
      <c r="V648" s="278"/>
      <c r="W648" s="278"/>
    </row>
    <row r="649" spans="1:23" s="269" customFormat="1" ht="20.25">
      <c r="A649" s="267"/>
      <c r="B649" s="275" t="s">
        <v>2436</v>
      </c>
      <c r="C649" s="275" t="s">
        <v>3831</v>
      </c>
      <c r="D649" s="168" t="s">
        <v>5769</v>
      </c>
      <c r="E649" s="168" t="s">
        <v>2402</v>
      </c>
      <c r="F649" s="168" t="s">
        <v>4623</v>
      </c>
      <c r="G649" s="168" t="s">
        <v>4623</v>
      </c>
      <c r="H649" s="292" t="s">
        <v>5770</v>
      </c>
      <c r="I649" s="293" t="s">
        <v>5771</v>
      </c>
      <c r="J649" s="293" t="s">
        <v>5772</v>
      </c>
      <c r="K649" s="290" t="s">
        <v>4623</v>
      </c>
      <c r="L649" s="290" t="s">
        <v>5033</v>
      </c>
      <c r="M649" s="290" t="s">
        <v>4623</v>
      </c>
      <c r="N649" s="290" t="s">
        <v>4623</v>
      </c>
      <c r="O649" s="290" t="s">
        <v>4623</v>
      </c>
      <c r="P649" s="290" t="s">
        <v>999</v>
      </c>
      <c r="Q649" s="291" t="s">
        <v>4623</v>
      </c>
      <c r="R649" s="276"/>
      <c r="S649" s="277">
        <f>IF(OR(C649="",C649=T$4),NA(),MATCH($B649&amp;$C649,'Smelter Reference List'!$J:$J,0))</f>
        <v>222</v>
      </c>
      <c r="T649" s="278"/>
      <c r="U649" s="278"/>
      <c r="V649" s="278"/>
      <c r="W649" s="278"/>
    </row>
    <row r="650" spans="1:23" s="269" customFormat="1" ht="20.25">
      <c r="A650" s="267"/>
      <c r="B650" s="275" t="s">
        <v>2436</v>
      </c>
      <c r="C650" s="275" t="s">
        <v>3831</v>
      </c>
      <c r="D650" s="168" t="s">
        <v>5773</v>
      </c>
      <c r="E650" s="168" t="s">
        <v>2402</v>
      </c>
      <c r="F650" s="168" t="s">
        <v>4623</v>
      </c>
      <c r="G650" s="168" t="s">
        <v>4623</v>
      </c>
      <c r="H650" s="292" t="s">
        <v>4623</v>
      </c>
      <c r="I650" s="293" t="s">
        <v>4623</v>
      </c>
      <c r="J650" s="293" t="s">
        <v>4623</v>
      </c>
      <c r="K650" s="290" t="s">
        <v>4623</v>
      </c>
      <c r="L650" s="290" t="s">
        <v>4623</v>
      </c>
      <c r="M650" s="290" t="s">
        <v>4623</v>
      </c>
      <c r="N650" s="290" t="s">
        <v>4623</v>
      </c>
      <c r="O650" s="290" t="s">
        <v>4623</v>
      </c>
      <c r="P650" s="290" t="s">
        <v>999</v>
      </c>
      <c r="Q650" s="291" t="s">
        <v>4623</v>
      </c>
      <c r="R650" s="276"/>
      <c r="S650" s="277">
        <f>IF(OR(C650="",C650=T$4),NA(),MATCH($B650&amp;$C650,'Smelter Reference List'!$J:$J,0))</f>
        <v>222</v>
      </c>
      <c r="T650" s="278"/>
      <c r="U650" s="278"/>
      <c r="V650" s="278"/>
      <c r="W650" s="278"/>
    </row>
    <row r="651" spans="1:23" s="269" customFormat="1" ht="20.25">
      <c r="A651" s="267"/>
      <c r="B651" s="275" t="s">
        <v>2436</v>
      </c>
      <c r="C651" s="275" t="s">
        <v>3831</v>
      </c>
      <c r="D651" s="168" t="s">
        <v>5774</v>
      </c>
      <c r="E651" s="168" t="s">
        <v>2402</v>
      </c>
      <c r="F651" s="168" t="s">
        <v>4623</v>
      </c>
      <c r="G651" s="168" t="s">
        <v>4623</v>
      </c>
      <c r="H651" s="292" t="s">
        <v>4623</v>
      </c>
      <c r="I651" s="293" t="s">
        <v>4623</v>
      </c>
      <c r="J651" s="293" t="s">
        <v>4623</v>
      </c>
      <c r="K651" s="290" t="s">
        <v>4623</v>
      </c>
      <c r="L651" s="290" t="s">
        <v>4623</v>
      </c>
      <c r="M651" s="290" t="s">
        <v>4623</v>
      </c>
      <c r="N651" s="290" t="s">
        <v>4623</v>
      </c>
      <c r="O651" s="290" t="s">
        <v>4623</v>
      </c>
      <c r="P651" s="290" t="s">
        <v>999</v>
      </c>
      <c r="Q651" s="291" t="s">
        <v>4623</v>
      </c>
      <c r="R651" s="276"/>
      <c r="S651" s="277">
        <f>IF(OR(C651="",C651=T$4),NA(),MATCH($B651&amp;$C651,'Smelter Reference List'!$J:$J,0))</f>
        <v>222</v>
      </c>
      <c r="T651" s="278"/>
      <c r="U651" s="278"/>
      <c r="V651" s="278"/>
      <c r="W651" s="278"/>
    </row>
    <row r="652" spans="1:23" s="269" customFormat="1" ht="20.25">
      <c r="A652" s="267"/>
      <c r="B652" s="275" t="s">
        <v>2436</v>
      </c>
      <c r="C652" s="275" t="s">
        <v>3831</v>
      </c>
      <c r="D652" s="168" t="s">
        <v>5775</v>
      </c>
      <c r="E652" s="168" t="s">
        <v>2402</v>
      </c>
      <c r="F652" s="168" t="s">
        <v>4623</v>
      </c>
      <c r="G652" s="168" t="s">
        <v>4623</v>
      </c>
      <c r="H652" s="292" t="s">
        <v>4623</v>
      </c>
      <c r="I652" s="293" t="s">
        <v>4623</v>
      </c>
      <c r="J652" s="293" t="s">
        <v>4623</v>
      </c>
      <c r="K652" s="290" t="s">
        <v>4623</v>
      </c>
      <c r="L652" s="290" t="s">
        <v>4623</v>
      </c>
      <c r="M652" s="290" t="s">
        <v>4623</v>
      </c>
      <c r="N652" s="290" t="s">
        <v>4623</v>
      </c>
      <c r="O652" s="290" t="s">
        <v>4623</v>
      </c>
      <c r="P652" s="290" t="s">
        <v>999</v>
      </c>
      <c r="Q652" s="291" t="s">
        <v>4623</v>
      </c>
      <c r="R652" s="276"/>
      <c r="S652" s="277">
        <f>IF(OR(C652="",C652=T$4),NA(),MATCH($B652&amp;$C652,'Smelter Reference List'!$J:$J,0))</f>
        <v>222</v>
      </c>
      <c r="T652" s="278"/>
      <c r="U652" s="278"/>
      <c r="V652" s="278"/>
      <c r="W652" s="278"/>
    </row>
    <row r="653" spans="1:23" s="269" customFormat="1" ht="20.25">
      <c r="A653" s="267"/>
      <c r="B653" s="275" t="s">
        <v>2436</v>
      </c>
      <c r="C653" s="275" t="s">
        <v>3831</v>
      </c>
      <c r="D653" s="168" t="s">
        <v>5776</v>
      </c>
      <c r="E653" s="168" t="s">
        <v>2388</v>
      </c>
      <c r="F653" s="168" t="s">
        <v>4623</v>
      </c>
      <c r="G653" s="168" t="s">
        <v>4623</v>
      </c>
      <c r="H653" s="292" t="s">
        <v>4623</v>
      </c>
      <c r="I653" s="293" t="s">
        <v>4623</v>
      </c>
      <c r="J653" s="293" t="s">
        <v>4623</v>
      </c>
      <c r="K653" s="290" t="s">
        <v>4623</v>
      </c>
      <c r="L653" s="290" t="s">
        <v>4623</v>
      </c>
      <c r="M653" s="290" t="s">
        <v>4623</v>
      </c>
      <c r="N653" s="290" t="s">
        <v>4623</v>
      </c>
      <c r="O653" s="290" t="s">
        <v>4623</v>
      </c>
      <c r="P653" s="290" t="s">
        <v>999</v>
      </c>
      <c r="Q653" s="291" t="s">
        <v>4623</v>
      </c>
      <c r="R653" s="276"/>
      <c r="S653" s="277">
        <f>IF(OR(C653="",C653=T$4),NA(),MATCH($B653&amp;$C653,'Smelter Reference List'!$J:$J,0))</f>
        <v>222</v>
      </c>
      <c r="T653" s="278"/>
      <c r="U653" s="278"/>
      <c r="V653" s="278"/>
      <c r="W653" s="278"/>
    </row>
    <row r="654" spans="1:23" s="269" customFormat="1" ht="20.25">
      <c r="A654" s="267"/>
      <c r="B654" s="275" t="s">
        <v>2436</v>
      </c>
      <c r="C654" s="275" t="s">
        <v>3831</v>
      </c>
      <c r="D654" s="168" t="s">
        <v>5777</v>
      </c>
      <c r="E654" s="168" t="s">
        <v>2388</v>
      </c>
      <c r="F654" s="168" t="s">
        <v>1391</v>
      </c>
      <c r="G654" s="168" t="s">
        <v>3324</v>
      </c>
      <c r="H654" s="292" t="s">
        <v>5778</v>
      </c>
      <c r="I654" s="293" t="s">
        <v>3450</v>
      </c>
      <c r="J654" s="293" t="s">
        <v>3451</v>
      </c>
      <c r="K654" s="290" t="s">
        <v>5779</v>
      </c>
      <c r="L654" s="290" t="s">
        <v>5780</v>
      </c>
      <c r="M654" s="290" t="s">
        <v>5000</v>
      </c>
      <c r="N654" s="290" t="s">
        <v>4628</v>
      </c>
      <c r="O654" s="290" t="s">
        <v>5781</v>
      </c>
      <c r="P654" s="290" t="s">
        <v>999</v>
      </c>
      <c r="Q654" s="291" t="s">
        <v>1005</v>
      </c>
      <c r="R654" s="276"/>
      <c r="S654" s="277">
        <f>IF(OR(C654="",C654=T$4),NA(),MATCH($B654&amp;$C654,'Smelter Reference List'!$J:$J,0))</f>
        <v>222</v>
      </c>
      <c r="T654" s="278"/>
      <c r="U654" s="278"/>
      <c r="V654" s="278"/>
      <c r="W654" s="278"/>
    </row>
    <row r="655" spans="1:23" s="269" customFormat="1" ht="20.25">
      <c r="A655" s="267"/>
      <c r="B655" s="275" t="s">
        <v>2436</v>
      </c>
      <c r="C655" s="275" t="s">
        <v>3831</v>
      </c>
      <c r="D655" s="168" t="s">
        <v>5782</v>
      </c>
      <c r="E655" s="168" t="s">
        <v>2388</v>
      </c>
      <c r="F655" s="168" t="s">
        <v>4623</v>
      </c>
      <c r="G655" s="168" t="s">
        <v>4623</v>
      </c>
      <c r="H655" s="292" t="s">
        <v>4623</v>
      </c>
      <c r="I655" s="293" t="s">
        <v>4623</v>
      </c>
      <c r="J655" s="293" t="s">
        <v>4623</v>
      </c>
      <c r="K655" s="290" t="s">
        <v>4623</v>
      </c>
      <c r="L655" s="290" t="s">
        <v>4623</v>
      </c>
      <c r="M655" s="290" t="s">
        <v>4623</v>
      </c>
      <c r="N655" s="290" t="s">
        <v>4623</v>
      </c>
      <c r="O655" s="290" t="s">
        <v>4623</v>
      </c>
      <c r="P655" s="290" t="s">
        <v>999</v>
      </c>
      <c r="Q655" s="291" t="s">
        <v>4623</v>
      </c>
      <c r="R655" s="276"/>
      <c r="S655" s="277">
        <f>IF(OR(C655="",C655=T$4),NA(),MATCH($B655&amp;$C655,'Smelter Reference List'!$J:$J,0))</f>
        <v>222</v>
      </c>
      <c r="T655" s="278"/>
      <c r="U655" s="278"/>
      <c r="V655" s="278"/>
      <c r="W655" s="278"/>
    </row>
    <row r="656" spans="1:23" s="269" customFormat="1" ht="20.25">
      <c r="A656" s="267"/>
      <c r="B656" s="275" t="s">
        <v>2436</v>
      </c>
      <c r="C656" s="275" t="s">
        <v>3831</v>
      </c>
      <c r="D656" s="168" t="s">
        <v>5783</v>
      </c>
      <c r="E656" s="168" t="s">
        <v>2388</v>
      </c>
      <c r="F656" s="168" t="s">
        <v>4623</v>
      </c>
      <c r="G656" s="168" t="s">
        <v>4623</v>
      </c>
      <c r="H656" s="292" t="s">
        <v>5784</v>
      </c>
      <c r="I656" s="293" t="s">
        <v>4623</v>
      </c>
      <c r="J656" s="293" t="s">
        <v>4623</v>
      </c>
      <c r="K656" s="290" t="s">
        <v>4623</v>
      </c>
      <c r="L656" s="290"/>
      <c r="M656" s="290" t="s">
        <v>4623</v>
      </c>
      <c r="N656" s="290" t="s">
        <v>4623</v>
      </c>
      <c r="O656" s="290" t="s">
        <v>4623</v>
      </c>
      <c r="P656" s="290" t="s">
        <v>999</v>
      </c>
      <c r="Q656" s="291" t="s">
        <v>5785</v>
      </c>
      <c r="R656" s="276"/>
      <c r="S656" s="277">
        <f>IF(OR(C656="",C656=T$4),NA(),MATCH($B656&amp;$C656,'Smelter Reference List'!$J:$J,0))</f>
        <v>222</v>
      </c>
      <c r="T656" s="278"/>
      <c r="U656" s="278"/>
      <c r="V656" s="278"/>
      <c r="W656" s="278"/>
    </row>
    <row r="657" spans="1:23" s="269" customFormat="1" ht="20.25">
      <c r="A657" s="267"/>
      <c r="B657" s="275" t="s">
        <v>2436</v>
      </c>
      <c r="C657" s="275" t="s">
        <v>3831</v>
      </c>
      <c r="D657" s="168" t="s">
        <v>5786</v>
      </c>
      <c r="E657" s="168" t="s">
        <v>2411</v>
      </c>
      <c r="F657" s="168" t="s">
        <v>4623</v>
      </c>
      <c r="G657" s="168" t="s">
        <v>4623</v>
      </c>
      <c r="H657" s="292" t="s">
        <v>5787</v>
      </c>
      <c r="I657" s="293" t="s">
        <v>5788</v>
      </c>
      <c r="J657" s="293" t="s">
        <v>4623</v>
      </c>
      <c r="K657" s="290" t="s">
        <v>5789</v>
      </c>
      <c r="L657" s="290" t="s">
        <v>5790</v>
      </c>
      <c r="M657" s="290" t="s">
        <v>4623</v>
      </c>
      <c r="N657" s="290" t="s">
        <v>4628</v>
      </c>
      <c r="O657" s="290" t="s">
        <v>4628</v>
      </c>
      <c r="P657" s="290" t="s">
        <v>999</v>
      </c>
      <c r="Q657" s="291" t="s">
        <v>4623</v>
      </c>
      <c r="R657" s="276"/>
      <c r="S657" s="277">
        <f>IF(OR(C657="",C657=T$4),NA(),MATCH($B657&amp;$C657,'Smelter Reference List'!$J:$J,0))</f>
        <v>222</v>
      </c>
      <c r="T657" s="278"/>
      <c r="U657" s="278"/>
      <c r="V657" s="278"/>
      <c r="W657" s="278"/>
    </row>
    <row r="658" spans="1:23" s="269" customFormat="1" ht="20.25">
      <c r="A658" s="267"/>
      <c r="B658" s="275" t="s">
        <v>2436</v>
      </c>
      <c r="C658" s="275" t="s">
        <v>3831</v>
      </c>
      <c r="D658" s="168" t="s">
        <v>4857</v>
      </c>
      <c r="E658" s="168" t="s">
        <v>2411</v>
      </c>
      <c r="F658" s="168" t="s">
        <v>4623</v>
      </c>
      <c r="G658" s="168" t="s">
        <v>4623</v>
      </c>
      <c r="H658" s="292" t="s">
        <v>4623</v>
      </c>
      <c r="I658" s="293" t="s">
        <v>4623</v>
      </c>
      <c r="J658" s="293" t="s">
        <v>4623</v>
      </c>
      <c r="K658" s="290" t="s">
        <v>4623</v>
      </c>
      <c r="L658" s="290" t="s">
        <v>4623</v>
      </c>
      <c r="M658" s="290" t="s">
        <v>4623</v>
      </c>
      <c r="N658" s="290" t="s">
        <v>4623</v>
      </c>
      <c r="O658" s="290" t="s">
        <v>4623</v>
      </c>
      <c r="P658" s="290" t="s">
        <v>999</v>
      </c>
      <c r="Q658" s="291" t="s">
        <v>4623</v>
      </c>
      <c r="R658" s="276"/>
      <c r="S658" s="277">
        <f>IF(OR(C658="",C658=T$4),NA(),MATCH($B658&amp;$C658,'Smelter Reference List'!$J:$J,0))</f>
        <v>222</v>
      </c>
      <c r="T658" s="278"/>
      <c r="U658" s="278"/>
      <c r="V658" s="278"/>
      <c r="W658" s="278"/>
    </row>
    <row r="659" spans="1:23" s="269" customFormat="1" ht="20.25">
      <c r="A659" s="267"/>
      <c r="B659" s="275" t="s">
        <v>2436</v>
      </c>
      <c r="C659" s="275" t="s">
        <v>3831</v>
      </c>
      <c r="D659" s="168" t="s">
        <v>5791</v>
      </c>
      <c r="E659" s="168" t="s">
        <v>2412</v>
      </c>
      <c r="F659" s="168" t="s">
        <v>4623</v>
      </c>
      <c r="G659" s="168" t="s">
        <v>4623</v>
      </c>
      <c r="H659" s="292" t="s">
        <v>4623</v>
      </c>
      <c r="I659" s="293" t="s">
        <v>4623</v>
      </c>
      <c r="J659" s="293" t="s">
        <v>4623</v>
      </c>
      <c r="K659" s="290" t="s">
        <v>4623</v>
      </c>
      <c r="L659" s="290" t="s">
        <v>4623</v>
      </c>
      <c r="M659" s="290" t="s">
        <v>4623</v>
      </c>
      <c r="N659" s="290" t="s">
        <v>4623</v>
      </c>
      <c r="O659" s="290" t="s">
        <v>4623</v>
      </c>
      <c r="P659" s="290" t="s">
        <v>999</v>
      </c>
      <c r="Q659" s="291" t="s">
        <v>4623</v>
      </c>
      <c r="R659" s="276"/>
      <c r="S659" s="277">
        <f>IF(OR(C659="",C659=T$4),NA(),MATCH($B659&amp;$C659,'Smelter Reference List'!$J:$J,0))</f>
        <v>222</v>
      </c>
      <c r="T659" s="278"/>
      <c r="U659" s="278"/>
      <c r="V659" s="278"/>
      <c r="W659" s="278"/>
    </row>
    <row r="660" spans="1:23" s="269" customFormat="1" ht="20.25">
      <c r="A660" s="267"/>
      <c r="B660" s="275" t="s">
        <v>2436</v>
      </c>
      <c r="C660" s="275" t="s">
        <v>3831</v>
      </c>
      <c r="D660" s="168" t="s">
        <v>5792</v>
      </c>
      <c r="E660" s="168" t="s">
        <v>1812</v>
      </c>
      <c r="F660" s="168" t="s">
        <v>4623</v>
      </c>
      <c r="G660" s="168" t="s">
        <v>4623</v>
      </c>
      <c r="H660" s="292" t="s">
        <v>4623</v>
      </c>
      <c r="I660" s="293" t="s">
        <v>4623</v>
      </c>
      <c r="J660" s="293" t="s">
        <v>4623</v>
      </c>
      <c r="K660" s="290" t="s">
        <v>4623</v>
      </c>
      <c r="L660" s="290" t="s">
        <v>4623</v>
      </c>
      <c r="M660" s="290" t="s">
        <v>4623</v>
      </c>
      <c r="N660" s="290" t="s">
        <v>4623</v>
      </c>
      <c r="O660" s="290" t="s">
        <v>4623</v>
      </c>
      <c r="P660" s="290" t="s">
        <v>999</v>
      </c>
      <c r="Q660" s="291" t="s">
        <v>4623</v>
      </c>
      <c r="R660" s="276"/>
      <c r="S660" s="277">
        <f>IF(OR(C660="",C660=T$4),NA(),MATCH($B660&amp;$C660,'Smelter Reference List'!$J:$J,0))</f>
        <v>222</v>
      </c>
      <c r="T660" s="278"/>
      <c r="U660" s="278"/>
      <c r="V660" s="278"/>
      <c r="W660" s="278"/>
    </row>
    <row r="661" spans="1:23" s="269" customFormat="1" ht="20.25">
      <c r="A661" s="267"/>
      <c r="B661" s="275" t="s">
        <v>2436</v>
      </c>
      <c r="C661" s="275" t="s">
        <v>3831</v>
      </c>
      <c r="D661" s="168" t="s">
        <v>5793</v>
      </c>
      <c r="E661" s="168" t="s">
        <v>1812</v>
      </c>
      <c r="F661" s="168" t="s">
        <v>4623</v>
      </c>
      <c r="G661" s="168" t="s">
        <v>4623</v>
      </c>
      <c r="H661" s="292" t="s">
        <v>5794</v>
      </c>
      <c r="I661" s="293" t="s">
        <v>5795</v>
      </c>
      <c r="J661" s="293" t="s">
        <v>5796</v>
      </c>
      <c r="K661" s="290" t="s">
        <v>4623</v>
      </c>
      <c r="L661" s="290" t="s">
        <v>5797</v>
      </c>
      <c r="M661" s="290" t="s">
        <v>4623</v>
      </c>
      <c r="N661" s="290" t="s">
        <v>5798</v>
      </c>
      <c r="O661" s="290" t="s">
        <v>5799</v>
      </c>
      <c r="P661" s="290" t="s">
        <v>999</v>
      </c>
      <c r="Q661" s="291" t="s">
        <v>4623</v>
      </c>
      <c r="R661" s="276"/>
      <c r="S661" s="277">
        <f>IF(OR(C661="",C661=T$4),NA(),MATCH($B661&amp;$C661,'Smelter Reference List'!$J:$J,0))</f>
        <v>222</v>
      </c>
      <c r="T661" s="278"/>
      <c r="U661" s="278"/>
      <c r="V661" s="278"/>
      <c r="W661" s="278"/>
    </row>
    <row r="662" spans="1:23" s="269" customFormat="1" ht="20.25">
      <c r="A662" s="267"/>
      <c r="B662" s="275" t="s">
        <v>2436</v>
      </c>
      <c r="C662" s="275" t="s">
        <v>3831</v>
      </c>
      <c r="D662" s="168" t="s">
        <v>93</v>
      </c>
      <c r="E662" s="168" t="s">
        <v>1812</v>
      </c>
      <c r="F662" s="168" t="s">
        <v>4623</v>
      </c>
      <c r="G662" s="168" t="s">
        <v>4623</v>
      </c>
      <c r="H662" s="292" t="s">
        <v>4623</v>
      </c>
      <c r="I662" s="293" t="s">
        <v>4623</v>
      </c>
      <c r="J662" s="293" t="s">
        <v>5033</v>
      </c>
      <c r="K662" s="290" t="s">
        <v>4623</v>
      </c>
      <c r="L662" s="290" t="s">
        <v>4623</v>
      </c>
      <c r="M662" s="290" t="s">
        <v>4623</v>
      </c>
      <c r="N662" s="290" t="s">
        <v>4623</v>
      </c>
      <c r="O662" s="290" t="s">
        <v>4623</v>
      </c>
      <c r="P662" s="290" t="s">
        <v>999</v>
      </c>
      <c r="Q662" s="291" t="s">
        <v>4623</v>
      </c>
      <c r="R662" s="276"/>
      <c r="S662" s="277">
        <f>IF(OR(C662="",C662=T$4),NA(),MATCH($B662&amp;$C662,'Smelter Reference List'!$J:$J,0))</f>
        <v>222</v>
      </c>
      <c r="T662" s="278"/>
      <c r="U662" s="278"/>
      <c r="V662" s="278"/>
      <c r="W662" s="278"/>
    </row>
    <row r="663" spans="1:23" s="269" customFormat="1" ht="20.25">
      <c r="A663" s="267"/>
      <c r="B663" s="275" t="s">
        <v>2436</v>
      </c>
      <c r="C663" s="275" t="s">
        <v>3831</v>
      </c>
      <c r="D663" s="168" t="s">
        <v>5800</v>
      </c>
      <c r="E663" s="168" t="s">
        <v>1813</v>
      </c>
      <c r="F663" s="168" t="s">
        <v>4623</v>
      </c>
      <c r="G663" s="168" t="s">
        <v>4623</v>
      </c>
      <c r="H663" s="292" t="s">
        <v>4623</v>
      </c>
      <c r="I663" s="293" t="s">
        <v>4623</v>
      </c>
      <c r="J663" s="293" t="s">
        <v>4623</v>
      </c>
      <c r="K663" s="290" t="s">
        <v>4623</v>
      </c>
      <c r="L663" s="290" t="s">
        <v>4623</v>
      </c>
      <c r="M663" s="290" t="s">
        <v>4623</v>
      </c>
      <c r="N663" s="290" t="s">
        <v>4623</v>
      </c>
      <c r="O663" s="290" t="s">
        <v>4623</v>
      </c>
      <c r="P663" s="290" t="s">
        <v>999</v>
      </c>
      <c r="Q663" s="291" t="s">
        <v>4623</v>
      </c>
      <c r="R663" s="276"/>
      <c r="S663" s="277">
        <f>IF(OR(C663="",C663=T$4),NA(),MATCH($B663&amp;$C663,'Smelter Reference List'!$J:$J,0))</f>
        <v>222</v>
      </c>
      <c r="T663" s="278"/>
      <c r="U663" s="278"/>
      <c r="V663" s="278"/>
      <c r="W663" s="278"/>
    </row>
    <row r="664" spans="1:23" s="269" customFormat="1" ht="20.25">
      <c r="A664" s="267"/>
      <c r="B664" s="275" t="s">
        <v>2436</v>
      </c>
      <c r="C664" s="275" t="s">
        <v>3831</v>
      </c>
      <c r="D664" s="168" t="s">
        <v>5801</v>
      </c>
      <c r="E664" s="168" t="s">
        <v>1813</v>
      </c>
      <c r="F664" s="168" t="s">
        <v>4623</v>
      </c>
      <c r="G664" s="168" t="s">
        <v>4623</v>
      </c>
      <c r="H664" s="292" t="s">
        <v>4623</v>
      </c>
      <c r="I664" s="293" t="s">
        <v>4623</v>
      </c>
      <c r="J664" s="293" t="s">
        <v>4623</v>
      </c>
      <c r="K664" s="290" t="s">
        <v>4623</v>
      </c>
      <c r="L664" s="290" t="s">
        <v>4623</v>
      </c>
      <c r="M664" s="290" t="s">
        <v>4623</v>
      </c>
      <c r="N664" s="290" t="s">
        <v>4623</v>
      </c>
      <c r="O664" s="290" t="s">
        <v>4623</v>
      </c>
      <c r="P664" s="290" t="s">
        <v>999</v>
      </c>
      <c r="Q664" s="291" t="s">
        <v>4623</v>
      </c>
      <c r="R664" s="276"/>
      <c r="S664" s="277">
        <f>IF(OR(C664="",C664=T$4),NA(),MATCH($B664&amp;$C664,'Smelter Reference List'!$J:$J,0))</f>
        <v>222</v>
      </c>
      <c r="T664" s="278"/>
      <c r="U664" s="278"/>
      <c r="V664" s="278"/>
      <c r="W664" s="278"/>
    </row>
    <row r="665" spans="1:23" s="269" customFormat="1" ht="20.25">
      <c r="A665" s="267"/>
      <c r="B665" s="275" t="s">
        <v>2436</v>
      </c>
      <c r="C665" s="275" t="s">
        <v>3831</v>
      </c>
      <c r="D665" s="168" t="s">
        <v>5802</v>
      </c>
      <c r="E665" s="168" t="s">
        <v>1813</v>
      </c>
      <c r="F665" s="168" t="s">
        <v>4623</v>
      </c>
      <c r="G665" s="168" t="s">
        <v>4623</v>
      </c>
      <c r="H665" s="292" t="s">
        <v>4623</v>
      </c>
      <c r="I665" s="293" t="s">
        <v>4623</v>
      </c>
      <c r="J665" s="293" t="s">
        <v>4623</v>
      </c>
      <c r="K665" s="290" t="s">
        <v>4623</v>
      </c>
      <c r="L665" s="290" t="s">
        <v>4623</v>
      </c>
      <c r="M665" s="290" t="s">
        <v>4623</v>
      </c>
      <c r="N665" s="290" t="s">
        <v>4623</v>
      </c>
      <c r="O665" s="290" t="s">
        <v>4623</v>
      </c>
      <c r="P665" s="290" t="s">
        <v>999</v>
      </c>
      <c r="Q665" s="291" t="s">
        <v>4623</v>
      </c>
      <c r="R665" s="276"/>
      <c r="S665" s="277">
        <f>IF(OR(C665="",C665=T$4),NA(),MATCH($B665&amp;$C665,'Smelter Reference List'!$J:$J,0))</f>
        <v>222</v>
      </c>
      <c r="T665" s="278"/>
      <c r="U665" s="278"/>
      <c r="V665" s="278"/>
      <c r="W665" s="278"/>
    </row>
    <row r="666" spans="1:23" s="269" customFormat="1" ht="20.25">
      <c r="A666" s="267"/>
      <c r="B666" s="275" t="s">
        <v>2436</v>
      </c>
      <c r="C666" s="275" t="s">
        <v>3831</v>
      </c>
      <c r="D666" s="168" t="s">
        <v>1567</v>
      </c>
      <c r="E666" s="168" t="s">
        <v>1816</v>
      </c>
      <c r="F666" s="168" t="s">
        <v>4623</v>
      </c>
      <c r="G666" s="168" t="s">
        <v>4623</v>
      </c>
      <c r="H666" s="292" t="s">
        <v>4623</v>
      </c>
      <c r="I666" s="293" t="s">
        <v>4623</v>
      </c>
      <c r="J666" s="293" t="s">
        <v>4623</v>
      </c>
      <c r="K666" s="290" t="s">
        <v>4623</v>
      </c>
      <c r="L666" s="290" t="s">
        <v>5033</v>
      </c>
      <c r="M666" s="290" t="s">
        <v>4623</v>
      </c>
      <c r="N666" s="290" t="s">
        <v>4623</v>
      </c>
      <c r="O666" s="290" t="s">
        <v>4623</v>
      </c>
      <c r="P666" s="290" t="s">
        <v>999</v>
      </c>
      <c r="Q666" s="291" t="s">
        <v>4623</v>
      </c>
      <c r="R666" s="276"/>
      <c r="S666" s="277">
        <f>IF(OR(C666="",C666=T$4),NA(),MATCH($B666&amp;$C666,'Smelter Reference List'!$J:$J,0))</f>
        <v>222</v>
      </c>
      <c r="T666" s="278"/>
      <c r="U666" s="278"/>
      <c r="V666" s="278"/>
      <c r="W666" s="278"/>
    </row>
    <row r="667" spans="1:23" s="269" customFormat="1" ht="20.25">
      <c r="A667" s="267"/>
      <c r="B667" s="275" t="s">
        <v>2436</v>
      </c>
      <c r="C667" s="275" t="s">
        <v>3831</v>
      </c>
      <c r="D667" s="168" t="s">
        <v>5803</v>
      </c>
      <c r="E667" s="168" t="s">
        <v>1825</v>
      </c>
      <c r="F667" s="168" t="s">
        <v>4623</v>
      </c>
      <c r="G667" s="168" t="s">
        <v>4623</v>
      </c>
      <c r="H667" s="292" t="s">
        <v>4623</v>
      </c>
      <c r="I667" s="293" t="s">
        <v>4623</v>
      </c>
      <c r="J667" s="293" t="s">
        <v>4623</v>
      </c>
      <c r="K667" s="290" t="s">
        <v>4623</v>
      </c>
      <c r="L667" s="290" t="s">
        <v>4623</v>
      </c>
      <c r="M667" s="290" t="s">
        <v>4623</v>
      </c>
      <c r="N667" s="290" t="s">
        <v>4623</v>
      </c>
      <c r="O667" s="290" t="s">
        <v>4623</v>
      </c>
      <c r="P667" s="290" t="s">
        <v>999</v>
      </c>
      <c r="Q667" s="291" t="s">
        <v>4623</v>
      </c>
      <c r="R667" s="276"/>
      <c r="S667" s="277">
        <f>IF(OR(C667="",C667=T$4),NA(),MATCH($B667&amp;$C667,'Smelter Reference List'!$J:$J,0))</f>
        <v>222</v>
      </c>
      <c r="T667" s="278"/>
      <c r="U667" s="278"/>
      <c r="V667" s="278"/>
      <c r="W667" s="278"/>
    </row>
    <row r="668" spans="1:23" s="269" customFormat="1" ht="20.25">
      <c r="A668" s="267"/>
      <c r="B668" s="275" t="s">
        <v>2436</v>
      </c>
      <c r="C668" s="275" t="s">
        <v>3831</v>
      </c>
      <c r="D668" s="168" t="s">
        <v>5804</v>
      </c>
      <c r="E668" s="168" t="s">
        <v>1825</v>
      </c>
      <c r="F668" s="168" t="s">
        <v>4623</v>
      </c>
      <c r="G668" s="168" t="s">
        <v>4623</v>
      </c>
      <c r="H668" s="292" t="s">
        <v>5805</v>
      </c>
      <c r="I668" s="293" t="s">
        <v>5806</v>
      </c>
      <c r="J668" s="293" t="s">
        <v>4623</v>
      </c>
      <c r="K668" s="290" t="s">
        <v>4623</v>
      </c>
      <c r="L668" s="290" t="s">
        <v>5033</v>
      </c>
      <c r="M668" s="290" t="s">
        <v>4623</v>
      </c>
      <c r="N668" s="290" t="s">
        <v>4623</v>
      </c>
      <c r="O668" s="290" t="s">
        <v>4623</v>
      </c>
      <c r="P668" s="290" t="s">
        <v>999</v>
      </c>
      <c r="Q668" s="291" t="s">
        <v>4623</v>
      </c>
      <c r="R668" s="276"/>
      <c r="S668" s="277">
        <f>IF(OR(C668="",C668=T$4),NA(),MATCH($B668&amp;$C668,'Smelter Reference List'!$J:$J,0))</f>
        <v>222</v>
      </c>
      <c r="T668" s="278"/>
      <c r="U668" s="278"/>
      <c r="V668" s="278"/>
      <c r="W668" s="278"/>
    </row>
    <row r="669" spans="1:23" s="269" customFormat="1" ht="20.25">
      <c r="A669" s="267"/>
      <c r="B669" s="275" t="s">
        <v>2436</v>
      </c>
      <c r="C669" s="275" t="s">
        <v>3831</v>
      </c>
      <c r="D669" s="168" t="s">
        <v>5807</v>
      </c>
      <c r="E669" s="168" t="s">
        <v>1825</v>
      </c>
      <c r="F669" s="168" t="s">
        <v>1400</v>
      </c>
      <c r="G669" s="168" t="s">
        <v>3324</v>
      </c>
      <c r="H669" s="292" t="s">
        <v>4623</v>
      </c>
      <c r="I669" s="293" t="s">
        <v>3467</v>
      </c>
      <c r="J669" s="293" t="s">
        <v>3468</v>
      </c>
      <c r="K669" s="290" t="s">
        <v>4623</v>
      </c>
      <c r="L669" s="290" t="s">
        <v>4623</v>
      </c>
      <c r="M669" s="290" t="s">
        <v>4623</v>
      </c>
      <c r="N669" s="290" t="s">
        <v>4623</v>
      </c>
      <c r="O669" s="290" t="s">
        <v>4799</v>
      </c>
      <c r="P669" s="290" t="s">
        <v>999</v>
      </c>
      <c r="Q669" s="291" t="s">
        <v>4623</v>
      </c>
      <c r="R669" s="276"/>
      <c r="S669" s="277">
        <f>IF(OR(C669="",C669=T$4),NA(),MATCH($B669&amp;$C669,'Smelter Reference List'!$J:$J,0))</f>
        <v>222</v>
      </c>
      <c r="T669" s="278"/>
      <c r="U669" s="278"/>
      <c r="V669" s="278"/>
      <c r="W669" s="278"/>
    </row>
    <row r="670" spans="1:23" s="269" customFormat="1" ht="20.25">
      <c r="A670" s="267"/>
      <c r="B670" s="275" t="s">
        <v>2436</v>
      </c>
      <c r="C670" s="275" t="s">
        <v>3831</v>
      </c>
      <c r="D670" s="168" t="s">
        <v>5808</v>
      </c>
      <c r="E670" s="168" t="s">
        <v>1825</v>
      </c>
      <c r="F670" s="168" t="s">
        <v>4623</v>
      </c>
      <c r="G670" s="168" t="s">
        <v>4623</v>
      </c>
      <c r="H670" s="292" t="s">
        <v>5809</v>
      </c>
      <c r="I670" s="293" t="s">
        <v>5810</v>
      </c>
      <c r="J670" s="293" t="s">
        <v>5811</v>
      </c>
      <c r="K670" s="290" t="s">
        <v>4623</v>
      </c>
      <c r="L670" s="290" t="s">
        <v>4623</v>
      </c>
      <c r="M670" s="290" t="s">
        <v>4623</v>
      </c>
      <c r="N670" s="290" t="s">
        <v>4623</v>
      </c>
      <c r="O670" s="290" t="s">
        <v>4623</v>
      </c>
      <c r="P670" s="290" t="s">
        <v>999</v>
      </c>
      <c r="Q670" s="291" t="s">
        <v>4623</v>
      </c>
      <c r="R670" s="276"/>
      <c r="S670" s="277">
        <f>IF(OR(C670="",C670=T$4),NA(),MATCH($B670&amp;$C670,'Smelter Reference List'!$J:$J,0))</f>
        <v>222</v>
      </c>
      <c r="T670" s="278"/>
      <c r="U670" s="278"/>
      <c r="V670" s="278"/>
      <c r="W670" s="278"/>
    </row>
    <row r="671" spans="1:23" s="269" customFormat="1" ht="20.25">
      <c r="A671" s="267"/>
      <c r="B671" s="275" t="s">
        <v>2436</v>
      </c>
      <c r="C671" s="275" t="s">
        <v>3831</v>
      </c>
      <c r="D671" s="168" t="s">
        <v>5812</v>
      </c>
      <c r="E671" s="168" t="s">
        <v>1825</v>
      </c>
      <c r="F671" s="168" t="s">
        <v>4623</v>
      </c>
      <c r="G671" s="168" t="s">
        <v>4623</v>
      </c>
      <c r="H671" s="292" t="s">
        <v>4623</v>
      </c>
      <c r="I671" s="293" t="s">
        <v>4623</v>
      </c>
      <c r="J671" s="293" t="s">
        <v>4623</v>
      </c>
      <c r="K671" s="290" t="s">
        <v>4623</v>
      </c>
      <c r="L671" s="290" t="s">
        <v>4623</v>
      </c>
      <c r="M671" s="290" t="s">
        <v>4623</v>
      </c>
      <c r="N671" s="290" t="s">
        <v>4623</v>
      </c>
      <c r="O671" s="290" t="s">
        <v>4623</v>
      </c>
      <c r="P671" s="290" t="s">
        <v>999</v>
      </c>
      <c r="Q671" s="291" t="s">
        <v>4623</v>
      </c>
      <c r="R671" s="276"/>
      <c r="S671" s="277">
        <f>IF(OR(C671="",C671=T$4),NA(),MATCH($B671&amp;$C671,'Smelter Reference List'!$J:$J,0))</f>
        <v>222</v>
      </c>
      <c r="T671" s="278"/>
      <c r="U671" s="278"/>
      <c r="V671" s="278"/>
      <c r="W671" s="278"/>
    </row>
    <row r="672" spans="1:23" s="269" customFormat="1" ht="20.25">
      <c r="A672" s="267"/>
      <c r="B672" s="275" t="s">
        <v>2436</v>
      </c>
      <c r="C672" s="275" t="s">
        <v>3831</v>
      </c>
      <c r="D672" s="168" t="s">
        <v>2422</v>
      </c>
      <c r="E672" s="168" t="s">
        <v>1825</v>
      </c>
      <c r="F672" s="168" t="s">
        <v>4623</v>
      </c>
      <c r="G672" s="168" t="s">
        <v>4623</v>
      </c>
      <c r="H672" s="292" t="s">
        <v>4623</v>
      </c>
      <c r="I672" s="293" t="s">
        <v>4623</v>
      </c>
      <c r="J672" s="293" t="s">
        <v>4623</v>
      </c>
      <c r="K672" s="290" t="s">
        <v>4623</v>
      </c>
      <c r="L672" s="290" t="s">
        <v>4623</v>
      </c>
      <c r="M672" s="290" t="s">
        <v>4623</v>
      </c>
      <c r="N672" s="290" t="s">
        <v>4623</v>
      </c>
      <c r="O672" s="290" t="s">
        <v>4623</v>
      </c>
      <c r="P672" s="290" t="s">
        <v>999</v>
      </c>
      <c r="Q672" s="291" t="s">
        <v>4623</v>
      </c>
      <c r="R672" s="276"/>
      <c r="S672" s="277">
        <f>IF(OR(C672="",C672=T$4),NA(),MATCH($B672&amp;$C672,'Smelter Reference List'!$J:$J,0))</f>
        <v>222</v>
      </c>
      <c r="T672" s="278"/>
      <c r="U672" s="278"/>
      <c r="V672" s="278"/>
      <c r="W672" s="278"/>
    </row>
    <row r="673" spans="1:23" s="269" customFormat="1" ht="20.25">
      <c r="A673" s="267"/>
      <c r="B673" s="275" t="s">
        <v>2436</v>
      </c>
      <c r="C673" s="275" t="s">
        <v>3831</v>
      </c>
      <c r="D673" s="168" t="s">
        <v>5813</v>
      </c>
      <c r="E673" s="168" t="s">
        <v>1825</v>
      </c>
      <c r="F673" s="168" t="s">
        <v>4623</v>
      </c>
      <c r="G673" s="168" t="s">
        <v>4623</v>
      </c>
      <c r="H673" s="292" t="s">
        <v>4623</v>
      </c>
      <c r="I673" s="293" t="s">
        <v>4623</v>
      </c>
      <c r="J673" s="293" t="s">
        <v>4623</v>
      </c>
      <c r="K673" s="290" t="s">
        <v>4623</v>
      </c>
      <c r="L673" s="290" t="s">
        <v>4623</v>
      </c>
      <c r="M673" s="290" t="s">
        <v>4623</v>
      </c>
      <c r="N673" s="290" t="s">
        <v>4623</v>
      </c>
      <c r="O673" s="290" t="s">
        <v>4623</v>
      </c>
      <c r="P673" s="290" t="s">
        <v>999</v>
      </c>
      <c r="Q673" s="291" t="s">
        <v>4623</v>
      </c>
      <c r="R673" s="276"/>
      <c r="S673" s="277">
        <f>IF(OR(C673="",C673=T$4),NA(),MATCH($B673&amp;$C673,'Smelter Reference List'!$J:$J,0))</f>
        <v>222</v>
      </c>
      <c r="T673" s="278"/>
      <c r="U673" s="278"/>
      <c r="V673" s="278"/>
      <c r="W673" s="278"/>
    </row>
    <row r="674" spans="1:23" s="269" customFormat="1" ht="20.25">
      <c r="A674" s="267"/>
      <c r="B674" s="275" t="s">
        <v>2436</v>
      </c>
      <c r="C674" s="275" t="s">
        <v>3831</v>
      </c>
      <c r="D674" s="168" t="s">
        <v>5814</v>
      </c>
      <c r="E674" s="168" t="s">
        <v>1830</v>
      </c>
      <c r="F674" s="168" t="s">
        <v>4623</v>
      </c>
      <c r="G674" s="168" t="s">
        <v>4623</v>
      </c>
      <c r="H674" s="292" t="s">
        <v>4623</v>
      </c>
      <c r="I674" s="293" t="s">
        <v>4623</v>
      </c>
      <c r="J674" s="293" t="s">
        <v>4623</v>
      </c>
      <c r="K674" s="290" t="s">
        <v>4623</v>
      </c>
      <c r="L674" s="290" t="s">
        <v>4623</v>
      </c>
      <c r="M674" s="290" t="s">
        <v>4623</v>
      </c>
      <c r="N674" s="290" t="s">
        <v>4623</v>
      </c>
      <c r="O674" s="290" t="s">
        <v>4623</v>
      </c>
      <c r="P674" s="290" t="s">
        <v>999</v>
      </c>
      <c r="Q674" s="291" t="s">
        <v>4623</v>
      </c>
      <c r="R674" s="276"/>
      <c r="S674" s="277">
        <f>IF(OR(C674="",C674=T$4),NA(),MATCH($B674&amp;$C674,'Smelter Reference List'!$J:$J,0))</f>
        <v>222</v>
      </c>
      <c r="T674" s="278"/>
      <c r="U674" s="278"/>
      <c r="V674" s="278"/>
      <c r="W674" s="278"/>
    </row>
    <row r="675" spans="1:23" s="269" customFormat="1" ht="20.25">
      <c r="A675" s="267"/>
      <c r="B675" s="275" t="s">
        <v>2436</v>
      </c>
      <c r="C675" s="275" t="s">
        <v>3831</v>
      </c>
      <c r="D675" s="168" t="s">
        <v>5815</v>
      </c>
      <c r="E675" s="168" t="s">
        <v>1830</v>
      </c>
      <c r="F675" s="168" t="s">
        <v>4623</v>
      </c>
      <c r="G675" s="168" t="s">
        <v>4623</v>
      </c>
      <c r="H675" s="292" t="s">
        <v>4623</v>
      </c>
      <c r="I675" s="293" t="s">
        <v>4623</v>
      </c>
      <c r="J675" s="293" t="s">
        <v>5816</v>
      </c>
      <c r="K675" s="290" t="s">
        <v>5817</v>
      </c>
      <c r="L675" s="290" t="s">
        <v>4623</v>
      </c>
      <c r="M675" s="290" t="s">
        <v>4623</v>
      </c>
      <c r="N675" s="290" t="s">
        <v>4623</v>
      </c>
      <c r="O675" s="290" t="s">
        <v>4623</v>
      </c>
      <c r="P675" s="290" t="s">
        <v>999</v>
      </c>
      <c r="Q675" s="291" t="s">
        <v>4623</v>
      </c>
      <c r="R675" s="276"/>
      <c r="S675" s="277">
        <f>IF(OR(C675="",C675=T$4),NA(),MATCH($B675&amp;$C675,'Smelter Reference List'!$J:$J,0))</f>
        <v>222</v>
      </c>
      <c r="T675" s="278"/>
      <c r="U675" s="278"/>
      <c r="V675" s="278"/>
      <c r="W675" s="278"/>
    </row>
    <row r="676" spans="1:23" s="269" customFormat="1" ht="20.25">
      <c r="A676" s="267"/>
      <c r="B676" s="275" t="s">
        <v>2436</v>
      </c>
      <c r="C676" s="275" t="s">
        <v>3831</v>
      </c>
      <c r="D676" s="168" t="s">
        <v>5818</v>
      </c>
      <c r="E676" s="168" t="s">
        <v>1830</v>
      </c>
      <c r="F676" s="168" t="s">
        <v>4623</v>
      </c>
      <c r="G676" s="168" t="s">
        <v>4623</v>
      </c>
      <c r="H676" s="292" t="s">
        <v>4623</v>
      </c>
      <c r="I676" s="293" t="s">
        <v>4623</v>
      </c>
      <c r="J676" s="293" t="s">
        <v>4623</v>
      </c>
      <c r="K676" s="290" t="s">
        <v>4623</v>
      </c>
      <c r="L676" s="290" t="s">
        <v>4623</v>
      </c>
      <c r="M676" s="290" t="s">
        <v>4623</v>
      </c>
      <c r="N676" s="290" t="s">
        <v>4623</v>
      </c>
      <c r="O676" s="290" t="s">
        <v>4623</v>
      </c>
      <c r="P676" s="290" t="s">
        <v>999</v>
      </c>
      <c r="Q676" s="291" t="s">
        <v>4623</v>
      </c>
      <c r="R676" s="276"/>
      <c r="S676" s="277">
        <f>IF(OR(C676="",C676=T$4),NA(),MATCH($B676&amp;$C676,'Smelter Reference List'!$J:$J,0))</f>
        <v>222</v>
      </c>
      <c r="T676" s="278"/>
      <c r="U676" s="278"/>
      <c r="V676" s="278"/>
      <c r="W676" s="278"/>
    </row>
    <row r="677" spans="1:23" s="269" customFormat="1" ht="20.25">
      <c r="A677" s="267"/>
      <c r="B677" s="275" t="s">
        <v>2436</v>
      </c>
      <c r="C677" s="275" t="s">
        <v>3831</v>
      </c>
      <c r="D677" s="168" t="s">
        <v>5819</v>
      </c>
      <c r="E677" s="168" t="s">
        <v>1830</v>
      </c>
      <c r="F677" s="168" t="s">
        <v>4623</v>
      </c>
      <c r="G677" s="168" t="s">
        <v>4623</v>
      </c>
      <c r="H677" s="292" t="s">
        <v>4623</v>
      </c>
      <c r="I677" s="293" t="s">
        <v>4623</v>
      </c>
      <c r="J677" s="293" t="s">
        <v>4623</v>
      </c>
      <c r="K677" s="290" t="s">
        <v>4623</v>
      </c>
      <c r="L677" s="290" t="s">
        <v>4623</v>
      </c>
      <c r="M677" s="290" t="s">
        <v>4623</v>
      </c>
      <c r="N677" s="290" t="s">
        <v>4623</v>
      </c>
      <c r="O677" s="290" t="s">
        <v>4623</v>
      </c>
      <c r="P677" s="290" t="s">
        <v>999</v>
      </c>
      <c r="Q677" s="291" t="s">
        <v>4623</v>
      </c>
      <c r="R677" s="276"/>
      <c r="S677" s="277">
        <f>IF(OR(C677="",C677=T$4),NA(),MATCH($B677&amp;$C677,'Smelter Reference List'!$J:$J,0))</f>
        <v>222</v>
      </c>
      <c r="T677" s="278"/>
      <c r="U677" s="278"/>
      <c r="V677" s="278"/>
      <c r="W677" s="278"/>
    </row>
    <row r="678" spans="1:23" s="269" customFormat="1" ht="20.25">
      <c r="A678" s="267"/>
      <c r="B678" s="275" t="s">
        <v>2436</v>
      </c>
      <c r="C678" s="275" t="s">
        <v>3831</v>
      </c>
      <c r="D678" s="168" t="s">
        <v>5759</v>
      </c>
      <c r="E678" s="168" t="s">
        <v>1830</v>
      </c>
      <c r="F678" s="168" t="s">
        <v>4623</v>
      </c>
      <c r="G678" s="168" t="s">
        <v>4623</v>
      </c>
      <c r="H678" s="292" t="s">
        <v>4623</v>
      </c>
      <c r="I678" s="293" t="s">
        <v>4623</v>
      </c>
      <c r="J678" s="293" t="s">
        <v>4623</v>
      </c>
      <c r="K678" s="290" t="s">
        <v>4623</v>
      </c>
      <c r="L678" s="290" t="s">
        <v>4623</v>
      </c>
      <c r="M678" s="290" t="s">
        <v>4623</v>
      </c>
      <c r="N678" s="290" t="s">
        <v>4623</v>
      </c>
      <c r="O678" s="290" t="s">
        <v>4623</v>
      </c>
      <c r="P678" s="290" t="s">
        <v>999</v>
      </c>
      <c r="Q678" s="291" t="s">
        <v>4623</v>
      </c>
      <c r="R678" s="276"/>
      <c r="S678" s="277">
        <f>IF(OR(C678="",C678=T$4),NA(),MATCH($B678&amp;$C678,'Smelter Reference List'!$J:$J,0))</f>
        <v>222</v>
      </c>
      <c r="T678" s="278"/>
      <c r="U678" s="278"/>
      <c r="V678" s="278"/>
      <c r="W678" s="278"/>
    </row>
    <row r="679" spans="1:23" s="269" customFormat="1" ht="20.25">
      <c r="A679" s="267"/>
      <c r="B679" s="275" t="s">
        <v>2436</v>
      </c>
      <c r="C679" s="275" t="s">
        <v>3831</v>
      </c>
      <c r="D679" s="168" t="s">
        <v>5820</v>
      </c>
      <c r="E679" s="168" t="s">
        <v>1830</v>
      </c>
      <c r="F679" s="168" t="s">
        <v>4623</v>
      </c>
      <c r="G679" s="168" t="s">
        <v>4623</v>
      </c>
      <c r="H679" s="292" t="s">
        <v>4623</v>
      </c>
      <c r="I679" s="293" t="s">
        <v>4623</v>
      </c>
      <c r="J679" s="293" t="s">
        <v>4623</v>
      </c>
      <c r="K679" s="290" t="s">
        <v>4623</v>
      </c>
      <c r="L679" s="290" t="s">
        <v>4623</v>
      </c>
      <c r="M679" s="290" t="s">
        <v>4623</v>
      </c>
      <c r="N679" s="290" t="s">
        <v>4623</v>
      </c>
      <c r="O679" s="290" t="s">
        <v>4623</v>
      </c>
      <c r="P679" s="290" t="s">
        <v>999</v>
      </c>
      <c r="Q679" s="291" t="s">
        <v>4623</v>
      </c>
      <c r="R679" s="276"/>
      <c r="S679" s="277">
        <f>IF(OR(C679="",C679=T$4),NA(),MATCH($B679&amp;$C679,'Smelter Reference List'!$J:$J,0))</f>
        <v>222</v>
      </c>
      <c r="T679" s="278"/>
      <c r="U679" s="278"/>
      <c r="V679" s="278"/>
      <c r="W679" s="278"/>
    </row>
    <row r="680" spans="1:23" s="269" customFormat="1" ht="20.25">
      <c r="A680" s="267"/>
      <c r="B680" s="275" t="s">
        <v>2436</v>
      </c>
      <c r="C680" s="275" t="s">
        <v>3831</v>
      </c>
      <c r="D680" s="168" t="s">
        <v>5821</v>
      </c>
      <c r="E680" s="168" t="s">
        <v>1830</v>
      </c>
      <c r="F680" s="168" t="s">
        <v>4623</v>
      </c>
      <c r="G680" s="168" t="s">
        <v>4623</v>
      </c>
      <c r="H680" s="292" t="s">
        <v>4623</v>
      </c>
      <c r="I680" s="293" t="s">
        <v>4623</v>
      </c>
      <c r="J680" s="293" t="s">
        <v>4623</v>
      </c>
      <c r="K680" s="290" t="s">
        <v>4623</v>
      </c>
      <c r="L680" s="290" t="s">
        <v>4623</v>
      </c>
      <c r="M680" s="290" t="s">
        <v>4623</v>
      </c>
      <c r="N680" s="290" t="s">
        <v>4623</v>
      </c>
      <c r="O680" s="290" t="s">
        <v>4623</v>
      </c>
      <c r="P680" s="290" t="s">
        <v>999</v>
      </c>
      <c r="Q680" s="291" t="s">
        <v>4623</v>
      </c>
      <c r="R680" s="276"/>
      <c r="S680" s="277">
        <f>IF(OR(C680="",C680=T$4),NA(),MATCH($B680&amp;$C680,'Smelter Reference List'!$J:$J,0))</f>
        <v>222</v>
      </c>
      <c r="T680" s="278"/>
      <c r="U680" s="278"/>
      <c r="V680" s="278"/>
      <c r="W680" s="278"/>
    </row>
    <row r="681" spans="1:23" s="269" customFormat="1" ht="20.25">
      <c r="A681" s="267"/>
      <c r="B681" s="275" t="s">
        <v>2436</v>
      </c>
      <c r="C681" s="275" t="s">
        <v>3831</v>
      </c>
      <c r="D681" s="168" t="s">
        <v>5822</v>
      </c>
      <c r="E681" s="168" t="s">
        <v>1830</v>
      </c>
      <c r="F681" s="168" t="s">
        <v>4623</v>
      </c>
      <c r="G681" s="168" t="s">
        <v>4623</v>
      </c>
      <c r="H681" s="292" t="s">
        <v>4623</v>
      </c>
      <c r="I681" s="293" t="s">
        <v>4623</v>
      </c>
      <c r="J681" s="293" t="s">
        <v>4623</v>
      </c>
      <c r="K681" s="290" t="s">
        <v>4623</v>
      </c>
      <c r="L681" s="290" t="s">
        <v>4623</v>
      </c>
      <c r="M681" s="290" t="s">
        <v>4623</v>
      </c>
      <c r="N681" s="290" t="s">
        <v>4623</v>
      </c>
      <c r="O681" s="290" t="s">
        <v>4623</v>
      </c>
      <c r="P681" s="290" t="s">
        <v>999</v>
      </c>
      <c r="Q681" s="291" t="s">
        <v>4623</v>
      </c>
      <c r="R681" s="276"/>
      <c r="S681" s="277">
        <f>IF(OR(C681="",C681=T$4),NA(),MATCH($B681&amp;$C681,'Smelter Reference List'!$J:$J,0))</f>
        <v>222</v>
      </c>
      <c r="T681" s="278"/>
      <c r="U681" s="278"/>
      <c r="V681" s="278"/>
      <c r="W681" s="278"/>
    </row>
    <row r="682" spans="1:23" s="269" customFormat="1" ht="20.25">
      <c r="A682" s="267"/>
      <c r="B682" s="275" t="s">
        <v>2436</v>
      </c>
      <c r="C682" s="275" t="s">
        <v>3831</v>
      </c>
      <c r="D682" s="168" t="s">
        <v>5823</v>
      </c>
      <c r="E682" s="168" t="s">
        <v>1880</v>
      </c>
      <c r="F682" s="168" t="s">
        <v>4623</v>
      </c>
      <c r="G682" s="168" t="s">
        <v>4623</v>
      </c>
      <c r="H682" s="292" t="s">
        <v>4623</v>
      </c>
      <c r="I682" s="293" t="s">
        <v>4623</v>
      </c>
      <c r="J682" s="293" t="s">
        <v>4623</v>
      </c>
      <c r="K682" s="290" t="s">
        <v>4623</v>
      </c>
      <c r="L682" s="290" t="s">
        <v>4623</v>
      </c>
      <c r="M682" s="290" t="s">
        <v>4623</v>
      </c>
      <c r="N682" s="290" t="s">
        <v>4623</v>
      </c>
      <c r="O682" s="290" t="s">
        <v>4623</v>
      </c>
      <c r="P682" s="290" t="s">
        <v>999</v>
      </c>
      <c r="Q682" s="291" t="s">
        <v>4623</v>
      </c>
      <c r="R682" s="276"/>
      <c r="S682" s="277">
        <f>IF(OR(C682="",C682=T$4),NA(),MATCH($B682&amp;$C682,'Smelter Reference List'!$J:$J,0))</f>
        <v>222</v>
      </c>
      <c r="T682" s="278"/>
      <c r="U682" s="278"/>
      <c r="V682" s="278"/>
      <c r="W682" s="278"/>
    </row>
    <row r="683" spans="1:23" s="269" customFormat="1" ht="20.25">
      <c r="A683" s="267"/>
      <c r="B683" s="275" t="s">
        <v>2436</v>
      </c>
      <c r="C683" s="275" t="s">
        <v>3831</v>
      </c>
      <c r="D683" s="168" t="s">
        <v>5414</v>
      </c>
      <c r="E683" s="168" t="s">
        <v>1880</v>
      </c>
      <c r="F683" s="168" t="s">
        <v>4623</v>
      </c>
      <c r="G683" s="168" t="s">
        <v>4623</v>
      </c>
      <c r="H683" s="292" t="s">
        <v>4623</v>
      </c>
      <c r="I683" s="293" t="s">
        <v>4623</v>
      </c>
      <c r="J683" s="293" t="s">
        <v>4623</v>
      </c>
      <c r="K683" s="290" t="s">
        <v>4623</v>
      </c>
      <c r="L683" s="290" t="s">
        <v>4623</v>
      </c>
      <c r="M683" s="290" t="s">
        <v>4623</v>
      </c>
      <c r="N683" s="290" t="s">
        <v>4623</v>
      </c>
      <c r="O683" s="290" t="s">
        <v>4623</v>
      </c>
      <c r="P683" s="290" t="s">
        <v>999</v>
      </c>
      <c r="Q683" s="291" t="s">
        <v>4623</v>
      </c>
      <c r="R683" s="276"/>
      <c r="S683" s="277">
        <f>IF(OR(C683="",C683=T$4),NA(),MATCH($B683&amp;$C683,'Smelter Reference List'!$J:$J,0))</f>
        <v>222</v>
      </c>
      <c r="T683" s="278"/>
      <c r="U683" s="278"/>
      <c r="V683" s="278"/>
      <c r="W683" s="278"/>
    </row>
    <row r="684" spans="1:23" s="269" customFormat="1" ht="20.25">
      <c r="A684" s="267"/>
      <c r="B684" s="275" t="s">
        <v>2436</v>
      </c>
      <c r="C684" s="275" t="s">
        <v>3831</v>
      </c>
      <c r="D684" s="168" t="s">
        <v>5824</v>
      </c>
      <c r="E684" s="168" t="s">
        <v>2318</v>
      </c>
      <c r="F684" s="168" t="s">
        <v>4623</v>
      </c>
      <c r="G684" s="168" t="s">
        <v>4623</v>
      </c>
      <c r="H684" s="292" t="s">
        <v>3491</v>
      </c>
      <c r="I684" s="293" t="s">
        <v>5825</v>
      </c>
      <c r="J684" s="293" t="s">
        <v>4815</v>
      </c>
      <c r="K684" s="290" t="s">
        <v>4816</v>
      </c>
      <c r="L684" s="290" t="s">
        <v>999</v>
      </c>
      <c r="M684" s="290" t="s">
        <v>5826</v>
      </c>
      <c r="N684" s="290" t="s">
        <v>4623</v>
      </c>
      <c r="O684" s="290" t="s">
        <v>5827</v>
      </c>
      <c r="P684" s="290" t="s">
        <v>999</v>
      </c>
      <c r="Q684" s="291" t="s">
        <v>4623</v>
      </c>
      <c r="R684" s="276"/>
      <c r="S684" s="277">
        <f>IF(OR(C684="",C684=T$4),NA(),MATCH($B684&amp;$C684,'Smelter Reference List'!$J:$J,0))</f>
        <v>222</v>
      </c>
      <c r="T684" s="278"/>
      <c r="U684" s="278"/>
      <c r="V684" s="278"/>
      <c r="W684" s="278"/>
    </row>
    <row r="685" spans="1:23" s="269" customFormat="1" ht="20.25">
      <c r="A685" s="267"/>
      <c r="B685" s="275" t="s">
        <v>2436</v>
      </c>
      <c r="C685" s="275" t="s">
        <v>3831</v>
      </c>
      <c r="D685" s="168" t="s">
        <v>5828</v>
      </c>
      <c r="E685" s="168" t="s">
        <v>1845</v>
      </c>
      <c r="F685" s="168" t="s">
        <v>4623</v>
      </c>
      <c r="G685" s="168" t="s">
        <v>4623</v>
      </c>
      <c r="H685" s="292" t="s">
        <v>5829</v>
      </c>
      <c r="I685" s="293" t="s">
        <v>4623</v>
      </c>
      <c r="J685" s="293" t="s">
        <v>4623</v>
      </c>
      <c r="K685" s="290" t="s">
        <v>5830</v>
      </c>
      <c r="L685" s="290" t="s">
        <v>5831</v>
      </c>
      <c r="M685" s="290" t="s">
        <v>4623</v>
      </c>
      <c r="N685" s="290" t="s">
        <v>4671</v>
      </c>
      <c r="O685" s="290" t="s">
        <v>4671</v>
      </c>
      <c r="P685" s="290" t="s">
        <v>999</v>
      </c>
      <c r="Q685" s="291" t="s">
        <v>4623</v>
      </c>
      <c r="R685" s="276"/>
      <c r="S685" s="277">
        <f>IF(OR(C685="",C685=T$4),NA(),MATCH($B685&amp;$C685,'Smelter Reference List'!$J:$J,0))</f>
        <v>222</v>
      </c>
      <c r="T685" s="278"/>
      <c r="U685" s="278"/>
      <c r="V685" s="278"/>
      <c r="W685" s="278"/>
    </row>
    <row r="686" spans="1:23" s="269" customFormat="1" ht="20.25">
      <c r="A686" s="267"/>
      <c r="B686" s="275" t="s">
        <v>2436</v>
      </c>
      <c r="C686" s="275" t="s">
        <v>3831</v>
      </c>
      <c r="D686" s="168" t="s">
        <v>5832</v>
      </c>
      <c r="E686" s="168" t="s">
        <v>2292</v>
      </c>
      <c r="F686" s="168" t="s">
        <v>4623</v>
      </c>
      <c r="G686" s="168" t="s">
        <v>4623</v>
      </c>
      <c r="H686" s="292" t="s">
        <v>4623</v>
      </c>
      <c r="I686" s="293" t="s">
        <v>4623</v>
      </c>
      <c r="J686" s="293" t="s">
        <v>4623</v>
      </c>
      <c r="K686" s="290" t="s">
        <v>5833</v>
      </c>
      <c r="L686" s="290" t="s">
        <v>4623</v>
      </c>
      <c r="M686" s="290" t="s">
        <v>4623</v>
      </c>
      <c r="N686" s="290" t="s">
        <v>4623</v>
      </c>
      <c r="O686" s="290" t="s">
        <v>4623</v>
      </c>
      <c r="P686" s="290" t="s">
        <v>999</v>
      </c>
      <c r="Q686" s="291" t="s">
        <v>4623</v>
      </c>
      <c r="R686" s="276"/>
      <c r="S686" s="277">
        <f>IF(OR(C686="",C686=T$4),NA(),MATCH($B686&amp;$C686,'Smelter Reference List'!$J:$J,0))</f>
        <v>222</v>
      </c>
      <c r="T686" s="278"/>
      <c r="U686" s="278"/>
      <c r="V686" s="278"/>
      <c r="W686" s="278"/>
    </row>
    <row r="687" spans="1:23" s="269" customFormat="1" ht="20.25">
      <c r="A687" s="267"/>
      <c r="B687" s="275" t="s">
        <v>2436</v>
      </c>
      <c r="C687" s="275" t="s">
        <v>3831</v>
      </c>
      <c r="D687" s="168" t="s">
        <v>5834</v>
      </c>
      <c r="E687" s="168" t="s">
        <v>2292</v>
      </c>
      <c r="F687" s="168" t="s">
        <v>4623</v>
      </c>
      <c r="G687" s="168" t="s">
        <v>4623</v>
      </c>
      <c r="H687" s="292" t="s">
        <v>5835</v>
      </c>
      <c r="I687" s="293" t="s">
        <v>4623</v>
      </c>
      <c r="J687" s="293" t="s">
        <v>4623</v>
      </c>
      <c r="K687" s="290" t="s">
        <v>4623</v>
      </c>
      <c r="L687" s="290" t="s">
        <v>4623</v>
      </c>
      <c r="M687" s="290" t="s">
        <v>4623</v>
      </c>
      <c r="N687" s="290" t="s">
        <v>4623</v>
      </c>
      <c r="O687" s="290" t="s">
        <v>4623</v>
      </c>
      <c r="P687" s="290" t="s">
        <v>999</v>
      </c>
      <c r="Q687" s="291" t="s">
        <v>4623</v>
      </c>
      <c r="R687" s="276"/>
      <c r="S687" s="277">
        <f>IF(OR(C687="",C687=T$4),NA(),MATCH($B687&amp;$C687,'Smelter Reference List'!$J:$J,0))</f>
        <v>222</v>
      </c>
      <c r="T687" s="278"/>
      <c r="U687" s="278"/>
      <c r="V687" s="278"/>
      <c r="W687" s="278"/>
    </row>
    <row r="688" spans="1:23" s="269" customFormat="1" ht="20.25">
      <c r="A688" s="267"/>
      <c r="B688" s="275" t="s">
        <v>2436</v>
      </c>
      <c r="C688" s="275" t="s">
        <v>3831</v>
      </c>
      <c r="D688" s="168" t="s">
        <v>5836</v>
      </c>
      <c r="E688" s="168" t="s">
        <v>2292</v>
      </c>
      <c r="F688" s="168" t="s">
        <v>4623</v>
      </c>
      <c r="G688" s="168" t="s">
        <v>4623</v>
      </c>
      <c r="H688" s="292" t="s">
        <v>4623</v>
      </c>
      <c r="I688" s="293" t="s">
        <v>4623</v>
      </c>
      <c r="J688" s="293" t="s">
        <v>4623</v>
      </c>
      <c r="K688" s="290" t="s">
        <v>4623</v>
      </c>
      <c r="L688" s="290" t="s">
        <v>4623</v>
      </c>
      <c r="M688" s="290" t="s">
        <v>4623</v>
      </c>
      <c r="N688" s="290" t="s">
        <v>4623</v>
      </c>
      <c r="O688" s="290" t="s">
        <v>4623</v>
      </c>
      <c r="P688" s="290" t="s">
        <v>999</v>
      </c>
      <c r="Q688" s="291" t="s">
        <v>4623</v>
      </c>
      <c r="R688" s="276"/>
      <c r="S688" s="277">
        <f>IF(OR(C688="",C688=T$4),NA(),MATCH($B688&amp;$C688,'Smelter Reference List'!$J:$J,0))</f>
        <v>222</v>
      </c>
      <c r="T688" s="278"/>
      <c r="U688" s="278"/>
      <c r="V688" s="278"/>
      <c r="W688" s="278"/>
    </row>
    <row r="689" spans="1:23" s="269" customFormat="1" ht="20.25">
      <c r="A689" s="267"/>
      <c r="B689" s="275" t="s">
        <v>2436</v>
      </c>
      <c r="C689" s="275" t="s">
        <v>3831</v>
      </c>
      <c r="D689" s="168" t="s">
        <v>5837</v>
      </c>
      <c r="E689" s="168" t="s">
        <v>2292</v>
      </c>
      <c r="F689" s="168" t="s">
        <v>4623</v>
      </c>
      <c r="G689" s="168" t="s">
        <v>4623</v>
      </c>
      <c r="H689" s="292" t="s">
        <v>5838</v>
      </c>
      <c r="I689" s="293" t="s">
        <v>5838</v>
      </c>
      <c r="J689" s="293" t="s">
        <v>5838</v>
      </c>
      <c r="K689" s="290" t="s">
        <v>4763</v>
      </c>
      <c r="L689" s="290" t="s">
        <v>4764</v>
      </c>
      <c r="M689" s="290" t="s">
        <v>4623</v>
      </c>
      <c r="N689" s="290" t="s">
        <v>5828</v>
      </c>
      <c r="O689" s="290" t="s">
        <v>5839</v>
      </c>
      <c r="P689" s="290" t="s">
        <v>999</v>
      </c>
      <c r="Q689" s="291" t="s">
        <v>4623</v>
      </c>
      <c r="R689" s="276"/>
      <c r="S689" s="277">
        <f>IF(OR(C689="",C689=T$4),NA(),MATCH($B689&amp;$C689,'Smelter Reference List'!$J:$J,0))</f>
        <v>222</v>
      </c>
      <c r="T689" s="278"/>
      <c r="U689" s="278"/>
      <c r="V689" s="278"/>
      <c r="W689" s="278"/>
    </row>
    <row r="690" spans="1:23" s="269" customFormat="1" ht="20.25">
      <c r="A690" s="267"/>
      <c r="B690" s="275" t="s">
        <v>2436</v>
      </c>
      <c r="C690" s="275" t="s">
        <v>3831</v>
      </c>
      <c r="D690" s="168" t="s">
        <v>5840</v>
      </c>
      <c r="E690" s="168" t="s">
        <v>2292</v>
      </c>
      <c r="F690" s="168" t="s">
        <v>4623</v>
      </c>
      <c r="G690" s="168" t="s">
        <v>4623</v>
      </c>
      <c r="H690" s="292" t="s">
        <v>4623</v>
      </c>
      <c r="I690" s="293" t="s">
        <v>4623</v>
      </c>
      <c r="J690" s="293" t="s">
        <v>4623</v>
      </c>
      <c r="K690" s="290" t="s">
        <v>4623</v>
      </c>
      <c r="L690" s="290" t="s">
        <v>4623</v>
      </c>
      <c r="M690" s="290" t="s">
        <v>4623</v>
      </c>
      <c r="N690" s="290" t="s">
        <v>4623</v>
      </c>
      <c r="O690" s="290" t="s">
        <v>4623</v>
      </c>
      <c r="P690" s="290" t="s">
        <v>999</v>
      </c>
      <c r="Q690" s="291" t="s">
        <v>4623</v>
      </c>
      <c r="R690" s="276"/>
      <c r="S690" s="277">
        <f>IF(OR(C690="",C690=T$4),NA(),MATCH($B690&amp;$C690,'Smelter Reference List'!$J:$J,0))</f>
        <v>222</v>
      </c>
      <c r="T690" s="278"/>
      <c r="U690" s="278"/>
      <c r="V690" s="278"/>
      <c r="W690" s="278"/>
    </row>
    <row r="691" spans="1:23" s="269" customFormat="1" ht="20.25">
      <c r="A691" s="267"/>
      <c r="B691" s="275" t="s">
        <v>2436</v>
      </c>
      <c r="C691" s="275" t="s">
        <v>3831</v>
      </c>
      <c r="D691" s="168" t="s">
        <v>5841</v>
      </c>
      <c r="E691" s="168" t="s">
        <v>2292</v>
      </c>
      <c r="F691" s="168" t="s">
        <v>4623</v>
      </c>
      <c r="G691" s="168" t="s">
        <v>4623</v>
      </c>
      <c r="H691" s="292" t="s">
        <v>4623</v>
      </c>
      <c r="I691" s="293" t="s">
        <v>4623</v>
      </c>
      <c r="J691" s="293" t="s">
        <v>4623</v>
      </c>
      <c r="K691" s="290" t="s">
        <v>4623</v>
      </c>
      <c r="L691" s="290" t="s">
        <v>4623</v>
      </c>
      <c r="M691" s="290" t="s">
        <v>4623</v>
      </c>
      <c r="N691" s="290" t="s">
        <v>4623</v>
      </c>
      <c r="O691" s="290" t="s">
        <v>4623</v>
      </c>
      <c r="P691" s="290" t="s">
        <v>999</v>
      </c>
      <c r="Q691" s="291" t="s">
        <v>4623</v>
      </c>
      <c r="R691" s="276"/>
      <c r="S691" s="277">
        <f>IF(OR(C691="",C691=T$4),NA(),MATCH($B691&amp;$C691,'Smelter Reference List'!$J:$J,0))</f>
        <v>222</v>
      </c>
      <c r="T691" s="278"/>
      <c r="U691" s="278"/>
      <c r="V691" s="278"/>
      <c r="W691" s="278"/>
    </row>
    <row r="692" spans="1:23" s="269" customFormat="1" ht="20.25">
      <c r="A692" s="267"/>
      <c r="B692" s="275" t="s">
        <v>2436</v>
      </c>
      <c r="C692" s="275" t="s">
        <v>3831</v>
      </c>
      <c r="D692" s="168" t="s">
        <v>5842</v>
      </c>
      <c r="E692" s="168" t="s">
        <v>2292</v>
      </c>
      <c r="F692" s="168" t="s">
        <v>4623</v>
      </c>
      <c r="G692" s="168" t="s">
        <v>4623</v>
      </c>
      <c r="H692" s="292" t="s">
        <v>3446</v>
      </c>
      <c r="I692" s="293" t="s">
        <v>3447</v>
      </c>
      <c r="J692" s="293" t="s">
        <v>5830</v>
      </c>
      <c r="K692" s="290" t="s">
        <v>5831</v>
      </c>
      <c r="L692" s="290" t="s">
        <v>4623</v>
      </c>
      <c r="M692" s="290" t="s">
        <v>4623</v>
      </c>
      <c r="N692" s="290" t="s">
        <v>4623</v>
      </c>
      <c r="O692" s="290" t="s">
        <v>4623</v>
      </c>
      <c r="P692" s="290" t="s">
        <v>999</v>
      </c>
      <c r="Q692" s="291" t="s">
        <v>4623</v>
      </c>
      <c r="R692" s="276"/>
      <c r="S692" s="277">
        <f>IF(OR(C692="",C692=T$4),NA(),MATCH($B692&amp;$C692,'Smelter Reference List'!$J:$J,0))</f>
        <v>222</v>
      </c>
      <c r="T692" s="278"/>
      <c r="U692" s="278"/>
      <c r="V692" s="278"/>
      <c r="W692" s="278"/>
    </row>
    <row r="693" spans="1:23" s="269" customFormat="1" ht="20.25">
      <c r="A693" s="267"/>
      <c r="B693" s="275" t="s">
        <v>2436</v>
      </c>
      <c r="C693" s="275" t="s">
        <v>3831</v>
      </c>
      <c r="D693" s="168" t="s">
        <v>5843</v>
      </c>
      <c r="E693" s="168" t="s">
        <v>2292</v>
      </c>
      <c r="F693" s="168" t="s">
        <v>4623</v>
      </c>
      <c r="G693" s="168" t="s">
        <v>4623</v>
      </c>
      <c r="H693" s="292" t="s">
        <v>4623</v>
      </c>
      <c r="I693" s="293" t="s">
        <v>4623</v>
      </c>
      <c r="J693" s="293" t="s">
        <v>4623</v>
      </c>
      <c r="K693" s="290" t="s">
        <v>4623</v>
      </c>
      <c r="L693" s="290" t="s">
        <v>4623</v>
      </c>
      <c r="M693" s="290" t="s">
        <v>4623</v>
      </c>
      <c r="N693" s="290" t="s">
        <v>4623</v>
      </c>
      <c r="O693" s="290" t="s">
        <v>4623</v>
      </c>
      <c r="P693" s="290" t="s">
        <v>999</v>
      </c>
      <c r="Q693" s="291" t="s">
        <v>4623</v>
      </c>
      <c r="R693" s="276"/>
      <c r="S693" s="277">
        <f>IF(OR(C693="",C693=T$4),NA(),MATCH($B693&amp;$C693,'Smelter Reference List'!$J:$J,0))</f>
        <v>222</v>
      </c>
      <c r="T693" s="278"/>
      <c r="U693" s="278"/>
      <c r="V693" s="278"/>
      <c r="W693" s="278"/>
    </row>
    <row r="694" spans="1:23" s="269" customFormat="1" ht="20.25">
      <c r="A694" s="267"/>
      <c r="B694" s="275" t="s">
        <v>2436</v>
      </c>
      <c r="C694" s="275" t="s">
        <v>3831</v>
      </c>
      <c r="D694" s="168" t="s">
        <v>5844</v>
      </c>
      <c r="E694" s="168" t="s">
        <v>2292</v>
      </c>
      <c r="F694" s="168" t="s">
        <v>4623</v>
      </c>
      <c r="G694" s="168" t="s">
        <v>4623</v>
      </c>
      <c r="H694" s="292" t="s">
        <v>5845</v>
      </c>
      <c r="I694" s="293" t="s">
        <v>5846</v>
      </c>
      <c r="J694" s="293" t="s">
        <v>4623</v>
      </c>
      <c r="K694" s="290" t="s">
        <v>5847</v>
      </c>
      <c r="L694" s="290" t="s">
        <v>5848</v>
      </c>
      <c r="M694" s="290" t="s">
        <v>4623</v>
      </c>
      <c r="N694" s="290" t="s">
        <v>4623</v>
      </c>
      <c r="O694" s="290" t="s">
        <v>4756</v>
      </c>
      <c r="P694" s="290" t="s">
        <v>999</v>
      </c>
      <c r="Q694" s="291" t="s">
        <v>4623</v>
      </c>
      <c r="R694" s="276"/>
      <c r="S694" s="277">
        <f>IF(OR(C694="",C694=T$4),NA(),MATCH($B694&amp;$C694,'Smelter Reference List'!$J:$J,0))</f>
        <v>222</v>
      </c>
      <c r="T694" s="278"/>
      <c r="U694" s="278"/>
      <c r="V694" s="278"/>
      <c r="W694" s="278"/>
    </row>
    <row r="695" spans="1:23" s="269" customFormat="1" ht="20.25">
      <c r="A695" s="267"/>
      <c r="B695" s="275" t="s">
        <v>2436</v>
      </c>
      <c r="C695" s="275" t="s">
        <v>3831</v>
      </c>
      <c r="D695" s="168" t="s">
        <v>5849</v>
      </c>
      <c r="E695" s="168" t="s">
        <v>2292</v>
      </c>
      <c r="F695" s="168" t="s">
        <v>4623</v>
      </c>
      <c r="G695" s="168" t="s">
        <v>4623</v>
      </c>
      <c r="H695" s="292" t="s">
        <v>4623</v>
      </c>
      <c r="I695" s="293" t="s">
        <v>4623</v>
      </c>
      <c r="J695" s="293" t="s">
        <v>4623</v>
      </c>
      <c r="K695" s="290" t="s">
        <v>4623</v>
      </c>
      <c r="L695" s="290" t="s">
        <v>4623</v>
      </c>
      <c r="M695" s="290" t="s">
        <v>4623</v>
      </c>
      <c r="N695" s="290" t="s">
        <v>4623</v>
      </c>
      <c r="O695" s="290" t="s">
        <v>4623</v>
      </c>
      <c r="P695" s="290" t="s">
        <v>999</v>
      </c>
      <c r="Q695" s="291" t="s">
        <v>4623</v>
      </c>
      <c r="R695" s="276"/>
      <c r="S695" s="277">
        <f>IF(OR(C695="",C695=T$4),NA(),MATCH($B695&amp;$C695,'Smelter Reference List'!$J:$J,0))</f>
        <v>222</v>
      </c>
      <c r="T695" s="278"/>
      <c r="U695" s="278"/>
      <c r="V695" s="278"/>
      <c r="W695" s="278"/>
    </row>
    <row r="696" spans="1:23" s="269" customFormat="1" ht="20.25">
      <c r="A696" s="267"/>
      <c r="B696" s="275" t="s">
        <v>2436</v>
      </c>
      <c r="C696" s="275" t="s">
        <v>3831</v>
      </c>
      <c r="D696" s="168" t="s">
        <v>5850</v>
      </c>
      <c r="E696" s="168" t="s">
        <v>2292</v>
      </c>
      <c r="F696" s="168" t="s">
        <v>4623</v>
      </c>
      <c r="G696" s="168" t="s">
        <v>4623</v>
      </c>
      <c r="H696" s="292" t="s">
        <v>4623</v>
      </c>
      <c r="I696" s="293" t="s">
        <v>4623</v>
      </c>
      <c r="J696" s="293" t="s">
        <v>4623</v>
      </c>
      <c r="K696" s="290" t="s">
        <v>4623</v>
      </c>
      <c r="L696" s="290" t="s">
        <v>4623</v>
      </c>
      <c r="M696" s="290" t="s">
        <v>4623</v>
      </c>
      <c r="N696" s="290" t="s">
        <v>4623</v>
      </c>
      <c r="O696" s="290" t="s">
        <v>4623</v>
      </c>
      <c r="P696" s="290" t="s">
        <v>999</v>
      </c>
      <c r="Q696" s="291" t="s">
        <v>4623</v>
      </c>
      <c r="R696" s="276"/>
      <c r="S696" s="277">
        <f>IF(OR(C696="",C696=T$4),NA(),MATCH($B696&amp;$C696,'Smelter Reference List'!$J:$J,0))</f>
        <v>222</v>
      </c>
      <c r="T696" s="278"/>
      <c r="U696" s="278"/>
      <c r="V696" s="278"/>
      <c r="W696" s="278"/>
    </row>
    <row r="697" spans="1:23" s="269" customFormat="1" ht="20.25">
      <c r="A697" s="267"/>
      <c r="B697" s="275" t="s">
        <v>2436</v>
      </c>
      <c r="C697" s="275" t="s">
        <v>3831</v>
      </c>
      <c r="D697" s="168" t="s">
        <v>5851</v>
      </c>
      <c r="E697" s="168" t="s">
        <v>1861</v>
      </c>
      <c r="F697" s="168" t="s">
        <v>4623</v>
      </c>
      <c r="G697" s="168" t="s">
        <v>4623</v>
      </c>
      <c r="H697" s="292" t="s">
        <v>5852</v>
      </c>
      <c r="I697" s="293" t="s">
        <v>4623</v>
      </c>
      <c r="J697" s="293" t="s">
        <v>4623</v>
      </c>
      <c r="K697" s="290" t="s">
        <v>4623</v>
      </c>
      <c r="L697" s="290" t="s">
        <v>4623</v>
      </c>
      <c r="M697" s="290" t="s">
        <v>4623</v>
      </c>
      <c r="N697" s="290" t="s">
        <v>4623</v>
      </c>
      <c r="O697" s="290" t="s">
        <v>4623</v>
      </c>
      <c r="P697" s="290" t="s">
        <v>999</v>
      </c>
      <c r="Q697" s="291" t="s">
        <v>4623</v>
      </c>
      <c r="R697" s="276"/>
      <c r="S697" s="277">
        <f>IF(OR(C697="",C697=T$4),NA(),MATCH($B697&amp;$C697,'Smelter Reference List'!$J:$J,0))</f>
        <v>222</v>
      </c>
      <c r="T697" s="278"/>
      <c r="U697" s="278"/>
      <c r="V697" s="278"/>
      <c r="W697" s="278"/>
    </row>
    <row r="698" spans="1:23" s="269" customFormat="1" ht="20.25">
      <c r="A698" s="267"/>
      <c r="B698" s="275" t="s">
        <v>2436</v>
      </c>
      <c r="C698" s="275" t="s">
        <v>3831</v>
      </c>
      <c r="D698" s="168" t="s">
        <v>5853</v>
      </c>
      <c r="E698" s="168" t="s">
        <v>1861</v>
      </c>
      <c r="F698" s="168" t="s">
        <v>4623</v>
      </c>
      <c r="G698" s="168" t="s">
        <v>4623</v>
      </c>
      <c r="H698" s="292" t="s">
        <v>4623</v>
      </c>
      <c r="I698" s="293" t="s">
        <v>4623</v>
      </c>
      <c r="J698" s="293" t="s">
        <v>4623</v>
      </c>
      <c r="K698" s="290" t="s">
        <v>4623</v>
      </c>
      <c r="L698" s="290" t="s">
        <v>4623</v>
      </c>
      <c r="M698" s="290" t="s">
        <v>4623</v>
      </c>
      <c r="N698" s="290" t="s">
        <v>4623</v>
      </c>
      <c r="O698" s="290" t="s">
        <v>4623</v>
      </c>
      <c r="P698" s="290" t="s">
        <v>999</v>
      </c>
      <c r="Q698" s="291" t="s">
        <v>4623</v>
      </c>
      <c r="R698" s="276"/>
      <c r="S698" s="277">
        <f>IF(OR(C698="",C698=T$4),NA(),MATCH($B698&amp;$C698,'Smelter Reference List'!$J:$J,0))</f>
        <v>222</v>
      </c>
      <c r="T698" s="278"/>
      <c r="U698" s="278"/>
      <c r="V698" s="278"/>
      <c r="W698" s="278"/>
    </row>
    <row r="699" spans="1:23" s="269" customFormat="1" ht="20.25">
      <c r="A699" s="267"/>
      <c r="B699" s="275" t="s">
        <v>2436</v>
      </c>
      <c r="C699" s="275" t="s">
        <v>3831</v>
      </c>
      <c r="D699" s="168" t="s">
        <v>5854</v>
      </c>
      <c r="E699" s="168" t="s">
        <v>1861</v>
      </c>
      <c r="F699" s="168" t="s">
        <v>4623</v>
      </c>
      <c r="G699" s="168" t="s">
        <v>4623</v>
      </c>
      <c r="H699" s="292" t="s">
        <v>4623</v>
      </c>
      <c r="I699" s="293" t="s">
        <v>4623</v>
      </c>
      <c r="J699" s="293" t="s">
        <v>4623</v>
      </c>
      <c r="K699" s="290" t="s">
        <v>4623</v>
      </c>
      <c r="L699" s="290" t="s">
        <v>4623</v>
      </c>
      <c r="M699" s="290" t="s">
        <v>4623</v>
      </c>
      <c r="N699" s="290" t="s">
        <v>4623</v>
      </c>
      <c r="O699" s="290" t="s">
        <v>4623</v>
      </c>
      <c r="P699" s="290" t="s">
        <v>999</v>
      </c>
      <c r="Q699" s="291" t="s">
        <v>4623</v>
      </c>
      <c r="R699" s="276"/>
      <c r="S699" s="277">
        <f>IF(OR(C699="",C699=T$4),NA(),MATCH($B699&amp;$C699,'Smelter Reference List'!$J:$J,0))</f>
        <v>222</v>
      </c>
      <c r="T699" s="278"/>
      <c r="U699" s="278"/>
      <c r="V699" s="278"/>
      <c r="W699" s="278"/>
    </row>
    <row r="700" spans="1:23" s="269" customFormat="1" ht="20.25">
      <c r="A700" s="267"/>
      <c r="B700" s="275" t="s">
        <v>2436</v>
      </c>
      <c r="C700" s="275" t="s">
        <v>3831</v>
      </c>
      <c r="D700" s="168" t="s">
        <v>5855</v>
      </c>
      <c r="E700" s="168" t="s">
        <v>1861</v>
      </c>
      <c r="F700" s="168" t="s">
        <v>4623</v>
      </c>
      <c r="G700" s="168" t="s">
        <v>4623</v>
      </c>
      <c r="H700" s="292" t="s">
        <v>4623</v>
      </c>
      <c r="I700" s="293" t="s">
        <v>4623</v>
      </c>
      <c r="J700" s="293" t="s">
        <v>4623</v>
      </c>
      <c r="K700" s="290" t="s">
        <v>4623</v>
      </c>
      <c r="L700" s="290" t="s">
        <v>4623</v>
      </c>
      <c r="M700" s="290" t="s">
        <v>4623</v>
      </c>
      <c r="N700" s="290" t="s">
        <v>4623</v>
      </c>
      <c r="O700" s="290" t="s">
        <v>4623</v>
      </c>
      <c r="P700" s="290" t="s">
        <v>999</v>
      </c>
      <c r="Q700" s="291" t="s">
        <v>4623</v>
      </c>
      <c r="R700" s="276"/>
      <c r="S700" s="277">
        <f>IF(OR(C700="",C700=T$4),NA(),MATCH($B700&amp;$C700,'Smelter Reference List'!$J:$J,0))</f>
        <v>222</v>
      </c>
      <c r="T700" s="278"/>
      <c r="U700" s="278"/>
      <c r="V700" s="278"/>
      <c r="W700" s="278"/>
    </row>
    <row r="701" spans="1:23" s="269" customFormat="1" ht="20.25">
      <c r="A701" s="267"/>
      <c r="B701" s="275" t="s">
        <v>2436</v>
      </c>
      <c r="C701" s="275" t="s">
        <v>3831</v>
      </c>
      <c r="D701" s="168" t="s">
        <v>5620</v>
      </c>
      <c r="E701" s="168" t="s">
        <v>1861</v>
      </c>
      <c r="F701" s="168" t="s">
        <v>4623</v>
      </c>
      <c r="G701" s="168" t="s">
        <v>4623</v>
      </c>
      <c r="H701" s="292" t="s">
        <v>4623</v>
      </c>
      <c r="I701" s="293" t="s">
        <v>4623</v>
      </c>
      <c r="J701" s="293" t="s">
        <v>4623</v>
      </c>
      <c r="K701" s="290" t="s">
        <v>4623</v>
      </c>
      <c r="L701" s="290" t="s">
        <v>4623</v>
      </c>
      <c r="M701" s="290" t="s">
        <v>4623</v>
      </c>
      <c r="N701" s="290" t="s">
        <v>4623</v>
      </c>
      <c r="O701" s="290" t="s">
        <v>4623</v>
      </c>
      <c r="P701" s="290" t="s">
        <v>999</v>
      </c>
      <c r="Q701" s="291" t="s">
        <v>4623</v>
      </c>
      <c r="R701" s="276"/>
      <c r="S701" s="277">
        <f>IF(OR(C701="",C701=T$4),NA(),MATCH($B701&amp;$C701,'Smelter Reference List'!$J:$J,0))</f>
        <v>222</v>
      </c>
      <c r="T701" s="278"/>
      <c r="U701" s="278"/>
      <c r="V701" s="278"/>
      <c r="W701" s="278"/>
    </row>
    <row r="702" spans="1:23" s="269" customFormat="1" ht="20.25">
      <c r="A702" s="267"/>
      <c r="B702" s="275" t="s">
        <v>2436</v>
      </c>
      <c r="C702" s="275" t="s">
        <v>3831</v>
      </c>
      <c r="D702" s="168" t="s">
        <v>5856</v>
      </c>
      <c r="E702" s="168" t="s">
        <v>1861</v>
      </c>
      <c r="F702" s="168" t="s">
        <v>4623</v>
      </c>
      <c r="G702" s="168" t="s">
        <v>4623</v>
      </c>
      <c r="H702" s="292" t="s">
        <v>4623</v>
      </c>
      <c r="I702" s="293" t="s">
        <v>4623</v>
      </c>
      <c r="J702" s="293" t="s">
        <v>4623</v>
      </c>
      <c r="K702" s="290" t="s">
        <v>4623</v>
      </c>
      <c r="L702" s="290" t="s">
        <v>4623</v>
      </c>
      <c r="M702" s="290" t="s">
        <v>4623</v>
      </c>
      <c r="N702" s="290" t="s">
        <v>4623</v>
      </c>
      <c r="O702" s="290" t="s">
        <v>4623</v>
      </c>
      <c r="P702" s="290" t="s">
        <v>999</v>
      </c>
      <c r="Q702" s="291" t="s">
        <v>4623</v>
      </c>
      <c r="R702" s="276"/>
      <c r="S702" s="277">
        <f>IF(OR(C702="",C702=T$4),NA(),MATCH($B702&amp;$C702,'Smelter Reference List'!$J:$J,0))</f>
        <v>222</v>
      </c>
      <c r="T702" s="278"/>
      <c r="U702" s="278"/>
      <c r="V702" s="278"/>
      <c r="W702" s="278"/>
    </row>
    <row r="703" spans="1:23" s="269" customFormat="1" ht="20.25">
      <c r="A703" s="267"/>
      <c r="B703" s="275" t="s">
        <v>2436</v>
      </c>
      <c r="C703" s="275" t="s">
        <v>3831</v>
      </c>
      <c r="D703" s="168" t="s">
        <v>5857</v>
      </c>
      <c r="E703" s="168" t="s">
        <v>1861</v>
      </c>
      <c r="F703" s="168" t="s">
        <v>4623</v>
      </c>
      <c r="G703" s="168" t="s">
        <v>4623</v>
      </c>
      <c r="H703" s="292" t="s">
        <v>3565</v>
      </c>
      <c r="I703" s="293" t="s">
        <v>3506</v>
      </c>
      <c r="J703" s="293" t="s">
        <v>5858</v>
      </c>
      <c r="K703" s="290" t="s">
        <v>4623</v>
      </c>
      <c r="L703" s="290" t="s">
        <v>4769</v>
      </c>
      <c r="M703" s="290" t="s">
        <v>4769</v>
      </c>
      <c r="N703" s="290" t="s">
        <v>4623</v>
      </c>
      <c r="O703" s="290" t="s">
        <v>4623</v>
      </c>
      <c r="P703" s="290" t="s">
        <v>999</v>
      </c>
      <c r="Q703" s="291" t="s">
        <v>4623</v>
      </c>
      <c r="R703" s="276"/>
      <c r="S703" s="277">
        <f>IF(OR(C703="",C703=T$4),NA(),MATCH($B703&amp;$C703,'Smelter Reference List'!$J:$J,0))</f>
        <v>222</v>
      </c>
      <c r="T703" s="278"/>
      <c r="U703" s="278"/>
      <c r="V703" s="278"/>
      <c r="W703" s="278"/>
    </row>
    <row r="704" spans="1:23" s="269" customFormat="1" ht="20.25">
      <c r="A704" s="267"/>
      <c r="B704" s="275" t="s">
        <v>2436</v>
      </c>
      <c r="C704" s="275" t="s">
        <v>3831</v>
      </c>
      <c r="D704" s="168" t="s">
        <v>5859</v>
      </c>
      <c r="E704" s="168" t="s">
        <v>1861</v>
      </c>
      <c r="F704" s="168" t="s">
        <v>4623</v>
      </c>
      <c r="G704" s="168" t="s">
        <v>4623</v>
      </c>
      <c r="H704" s="292" t="s">
        <v>4623</v>
      </c>
      <c r="I704" s="293" t="s">
        <v>4623</v>
      </c>
      <c r="J704" s="293" t="s">
        <v>4623</v>
      </c>
      <c r="K704" s="290" t="s">
        <v>4623</v>
      </c>
      <c r="L704" s="290" t="s">
        <v>4623</v>
      </c>
      <c r="M704" s="290" t="s">
        <v>4623</v>
      </c>
      <c r="N704" s="290" t="s">
        <v>4623</v>
      </c>
      <c r="O704" s="290" t="s">
        <v>4623</v>
      </c>
      <c r="P704" s="290" t="s">
        <v>999</v>
      </c>
      <c r="Q704" s="291" t="s">
        <v>4623</v>
      </c>
      <c r="R704" s="276"/>
      <c r="S704" s="277">
        <f>IF(OR(C704="",C704=T$4),NA(),MATCH($B704&amp;$C704,'Smelter Reference List'!$J:$J,0))</f>
        <v>222</v>
      </c>
      <c r="T704" s="278"/>
      <c r="U704" s="278"/>
      <c r="V704" s="278"/>
      <c r="W704" s="278"/>
    </row>
    <row r="705" spans="1:23" s="269" customFormat="1" ht="20.25">
      <c r="A705" s="267"/>
      <c r="B705" s="275" t="s">
        <v>2436</v>
      </c>
      <c r="C705" s="275" t="s">
        <v>3831</v>
      </c>
      <c r="D705" s="168" t="s">
        <v>5097</v>
      </c>
      <c r="E705" s="168" t="s">
        <v>1861</v>
      </c>
      <c r="F705" s="168" t="s">
        <v>4623</v>
      </c>
      <c r="G705" s="168" t="s">
        <v>4623</v>
      </c>
      <c r="H705" s="292" t="s">
        <v>4623</v>
      </c>
      <c r="I705" s="293" t="s">
        <v>4623</v>
      </c>
      <c r="J705" s="293" t="s">
        <v>4623</v>
      </c>
      <c r="K705" s="290" t="s">
        <v>4623</v>
      </c>
      <c r="L705" s="290" t="s">
        <v>4623</v>
      </c>
      <c r="M705" s="290" t="s">
        <v>4623</v>
      </c>
      <c r="N705" s="290" t="s">
        <v>4623</v>
      </c>
      <c r="O705" s="290" t="s">
        <v>4623</v>
      </c>
      <c r="P705" s="290" t="s">
        <v>999</v>
      </c>
      <c r="Q705" s="291" t="s">
        <v>4623</v>
      </c>
      <c r="R705" s="276"/>
      <c r="S705" s="277">
        <f>IF(OR(C705="",C705=T$4),NA(),MATCH($B705&amp;$C705,'Smelter Reference List'!$J:$J,0))</f>
        <v>222</v>
      </c>
      <c r="T705" s="278"/>
      <c r="U705" s="278"/>
      <c r="V705" s="278"/>
      <c r="W705" s="278"/>
    </row>
    <row r="706" spans="1:23" s="269" customFormat="1" ht="20.25">
      <c r="A706" s="267"/>
      <c r="B706" s="275" t="s">
        <v>2436</v>
      </c>
      <c r="C706" s="275" t="s">
        <v>3831</v>
      </c>
      <c r="D706" s="168" t="s">
        <v>5860</v>
      </c>
      <c r="E706" s="168" t="s">
        <v>1861</v>
      </c>
      <c r="F706" s="168" t="s">
        <v>4623</v>
      </c>
      <c r="G706" s="168" t="s">
        <v>4623</v>
      </c>
      <c r="H706" s="292" t="s">
        <v>4623</v>
      </c>
      <c r="I706" s="293" t="s">
        <v>4623</v>
      </c>
      <c r="J706" s="293" t="s">
        <v>4623</v>
      </c>
      <c r="K706" s="290" t="s">
        <v>4623</v>
      </c>
      <c r="L706" s="290" t="s">
        <v>4623</v>
      </c>
      <c r="M706" s="290" t="s">
        <v>4623</v>
      </c>
      <c r="N706" s="290" t="s">
        <v>4623</v>
      </c>
      <c r="O706" s="290" t="s">
        <v>4623</v>
      </c>
      <c r="P706" s="290" t="s">
        <v>999</v>
      </c>
      <c r="Q706" s="291" t="s">
        <v>4623</v>
      </c>
      <c r="R706" s="276"/>
      <c r="S706" s="277">
        <f>IF(OR(C706="",C706=T$4),NA(),MATCH($B706&amp;$C706,'Smelter Reference List'!$J:$J,0))</f>
        <v>222</v>
      </c>
      <c r="T706" s="278"/>
      <c r="U706" s="278"/>
      <c r="V706" s="278"/>
      <c r="W706" s="278"/>
    </row>
    <row r="707" spans="1:23" s="269" customFormat="1" ht="20.25">
      <c r="A707" s="267"/>
      <c r="B707" s="275" t="s">
        <v>2436</v>
      </c>
      <c r="C707" s="275" t="s">
        <v>3831</v>
      </c>
      <c r="D707" s="168" t="s">
        <v>5861</v>
      </c>
      <c r="E707" s="168" t="s">
        <v>1861</v>
      </c>
      <c r="F707" s="168" t="s">
        <v>4623</v>
      </c>
      <c r="G707" s="168" t="s">
        <v>4623</v>
      </c>
      <c r="H707" s="292" t="s">
        <v>4623</v>
      </c>
      <c r="I707" s="293" t="s">
        <v>4623</v>
      </c>
      <c r="J707" s="293" t="s">
        <v>4623</v>
      </c>
      <c r="K707" s="290" t="s">
        <v>4623</v>
      </c>
      <c r="L707" s="290" t="s">
        <v>4623</v>
      </c>
      <c r="M707" s="290" t="s">
        <v>4623</v>
      </c>
      <c r="N707" s="290" t="s">
        <v>4623</v>
      </c>
      <c r="O707" s="290" t="s">
        <v>4623</v>
      </c>
      <c r="P707" s="290" t="s">
        <v>999</v>
      </c>
      <c r="Q707" s="291" t="s">
        <v>4623</v>
      </c>
      <c r="R707" s="276"/>
      <c r="S707" s="277">
        <f>IF(OR(C707="",C707=T$4),NA(),MATCH($B707&amp;$C707,'Smelter Reference List'!$J:$J,0))</f>
        <v>222</v>
      </c>
      <c r="T707" s="278"/>
      <c r="U707" s="278"/>
      <c r="V707" s="278"/>
      <c r="W707" s="278"/>
    </row>
    <row r="708" spans="1:23" s="269" customFormat="1" ht="20.25">
      <c r="A708" s="267"/>
      <c r="B708" s="275" t="s">
        <v>2436</v>
      </c>
      <c r="C708" s="275" t="s">
        <v>3831</v>
      </c>
      <c r="D708" s="168" t="s">
        <v>5862</v>
      </c>
      <c r="E708" s="168" t="s">
        <v>1861</v>
      </c>
      <c r="F708" s="168" t="s">
        <v>4623</v>
      </c>
      <c r="G708" s="168" t="s">
        <v>4623</v>
      </c>
      <c r="H708" s="292" t="s">
        <v>4623</v>
      </c>
      <c r="I708" s="293" t="s">
        <v>4623</v>
      </c>
      <c r="J708" s="293" t="s">
        <v>4623</v>
      </c>
      <c r="K708" s="290" t="s">
        <v>4623</v>
      </c>
      <c r="L708" s="290" t="s">
        <v>4623</v>
      </c>
      <c r="M708" s="290" t="s">
        <v>4623</v>
      </c>
      <c r="N708" s="290" t="s">
        <v>4623</v>
      </c>
      <c r="O708" s="290" t="s">
        <v>4623</v>
      </c>
      <c r="P708" s="290" t="s">
        <v>999</v>
      </c>
      <c r="Q708" s="291" t="s">
        <v>4623</v>
      </c>
      <c r="R708" s="276"/>
      <c r="S708" s="277">
        <f>IF(OR(C708="",C708=T$4),NA(),MATCH($B708&amp;$C708,'Smelter Reference List'!$J:$J,0))</f>
        <v>222</v>
      </c>
      <c r="T708" s="278"/>
      <c r="U708" s="278"/>
      <c r="V708" s="278"/>
      <c r="W708" s="278"/>
    </row>
    <row r="709" spans="1:23" s="269" customFormat="1" ht="20.25">
      <c r="A709" s="267"/>
      <c r="B709" s="275" t="s">
        <v>2436</v>
      </c>
      <c r="C709" s="275" t="s">
        <v>3831</v>
      </c>
      <c r="D709" s="168" t="s">
        <v>5863</v>
      </c>
      <c r="E709" s="168" t="s">
        <v>1861</v>
      </c>
      <c r="F709" s="168" t="s">
        <v>4623</v>
      </c>
      <c r="G709" s="168" t="s">
        <v>4623</v>
      </c>
      <c r="H709" s="292" t="s">
        <v>4623</v>
      </c>
      <c r="I709" s="293" t="s">
        <v>4623</v>
      </c>
      <c r="J709" s="293" t="s">
        <v>4623</v>
      </c>
      <c r="K709" s="290" t="s">
        <v>4623</v>
      </c>
      <c r="L709" s="290" t="s">
        <v>4623</v>
      </c>
      <c r="M709" s="290" t="s">
        <v>4623</v>
      </c>
      <c r="N709" s="290" t="s">
        <v>4623</v>
      </c>
      <c r="O709" s="290" t="s">
        <v>4623</v>
      </c>
      <c r="P709" s="290" t="s">
        <v>999</v>
      </c>
      <c r="Q709" s="291" t="s">
        <v>4623</v>
      </c>
      <c r="R709" s="276"/>
      <c r="S709" s="277">
        <f>IF(OR(C709="",C709=T$4),NA(),MATCH($B709&amp;$C709,'Smelter Reference List'!$J:$J,0))</f>
        <v>222</v>
      </c>
      <c r="T709" s="278"/>
      <c r="U709" s="278"/>
      <c r="V709" s="278"/>
      <c r="W709" s="278"/>
    </row>
    <row r="710" spans="1:23" s="269" customFormat="1" ht="20.25">
      <c r="A710" s="267"/>
      <c r="B710" s="275" t="s">
        <v>2436</v>
      </c>
      <c r="C710" s="275" t="s">
        <v>3831</v>
      </c>
      <c r="D710" s="168" t="s">
        <v>5864</v>
      </c>
      <c r="E710" s="168" t="s">
        <v>1861</v>
      </c>
      <c r="F710" s="168" t="s">
        <v>4623</v>
      </c>
      <c r="G710" s="168" t="s">
        <v>4623</v>
      </c>
      <c r="H710" s="292" t="s">
        <v>5865</v>
      </c>
      <c r="I710" s="293" t="s">
        <v>3564</v>
      </c>
      <c r="J710" s="293" t="s">
        <v>3565</v>
      </c>
      <c r="K710" s="290" t="s">
        <v>4623</v>
      </c>
      <c r="L710" s="290" t="s">
        <v>4623</v>
      </c>
      <c r="M710" s="290" t="s">
        <v>4623</v>
      </c>
      <c r="N710" s="290" t="s">
        <v>4623</v>
      </c>
      <c r="O710" s="290" t="s">
        <v>4623</v>
      </c>
      <c r="P710" s="290" t="s">
        <v>999</v>
      </c>
      <c r="Q710" s="291" t="s">
        <v>4623</v>
      </c>
      <c r="R710" s="276"/>
      <c r="S710" s="277">
        <f>IF(OR(C710="",C710=T$4),NA(),MATCH($B710&amp;$C710,'Smelter Reference List'!$J:$J,0))</f>
        <v>222</v>
      </c>
      <c r="T710" s="278"/>
      <c r="U710" s="278"/>
      <c r="V710" s="278"/>
      <c r="W710" s="278"/>
    </row>
    <row r="711" spans="1:23" s="269" customFormat="1" ht="20.25">
      <c r="A711" s="267"/>
      <c r="B711" s="275" t="s">
        <v>2436</v>
      </c>
      <c r="C711" s="275" t="s">
        <v>3831</v>
      </c>
      <c r="D711" s="168" t="s">
        <v>5866</v>
      </c>
      <c r="E711" s="168" t="s">
        <v>1861</v>
      </c>
      <c r="F711" s="168" t="s">
        <v>4623</v>
      </c>
      <c r="G711" s="168" t="s">
        <v>4623</v>
      </c>
      <c r="H711" s="292" t="s">
        <v>4623</v>
      </c>
      <c r="I711" s="293" t="s">
        <v>4623</v>
      </c>
      <c r="J711" s="293" t="s">
        <v>4623</v>
      </c>
      <c r="K711" s="290" t="s">
        <v>4623</v>
      </c>
      <c r="L711" s="290" t="s">
        <v>4623</v>
      </c>
      <c r="M711" s="290" t="s">
        <v>4623</v>
      </c>
      <c r="N711" s="290" t="s">
        <v>4623</v>
      </c>
      <c r="O711" s="290" t="s">
        <v>4623</v>
      </c>
      <c r="P711" s="290" t="s">
        <v>999</v>
      </c>
      <c r="Q711" s="291" t="s">
        <v>4623</v>
      </c>
      <c r="R711" s="276"/>
      <c r="S711" s="277">
        <f>IF(OR(C711="",C711=T$4),NA(),MATCH($B711&amp;$C711,'Smelter Reference List'!$J:$J,0))</f>
        <v>222</v>
      </c>
      <c r="T711" s="278"/>
      <c r="U711" s="278"/>
      <c r="V711" s="278"/>
      <c r="W711" s="278"/>
    </row>
    <row r="712" spans="1:23" s="269" customFormat="1" ht="20.25">
      <c r="A712" s="267"/>
      <c r="B712" s="275" t="s">
        <v>2436</v>
      </c>
      <c r="C712" s="275" t="s">
        <v>3831</v>
      </c>
      <c r="D712" s="168" t="s">
        <v>5867</v>
      </c>
      <c r="E712" s="168" t="s">
        <v>1861</v>
      </c>
      <c r="F712" s="168" t="s">
        <v>4623</v>
      </c>
      <c r="G712" s="168" t="s">
        <v>4623</v>
      </c>
      <c r="H712" s="292" t="s">
        <v>4623</v>
      </c>
      <c r="I712" s="293" t="s">
        <v>4623</v>
      </c>
      <c r="J712" s="293" t="s">
        <v>4623</v>
      </c>
      <c r="K712" s="290" t="s">
        <v>4623</v>
      </c>
      <c r="L712" s="290" t="s">
        <v>4623</v>
      </c>
      <c r="M712" s="290" t="s">
        <v>4623</v>
      </c>
      <c r="N712" s="290" t="s">
        <v>4623</v>
      </c>
      <c r="O712" s="290" t="s">
        <v>4623</v>
      </c>
      <c r="P712" s="290" t="s">
        <v>999</v>
      </c>
      <c r="Q712" s="291" t="s">
        <v>4623</v>
      </c>
      <c r="R712" s="276"/>
      <c r="S712" s="277">
        <f>IF(OR(C712="",C712=T$4),NA(),MATCH($B712&amp;$C712,'Smelter Reference List'!$J:$J,0))</f>
        <v>222</v>
      </c>
      <c r="T712" s="278"/>
      <c r="U712" s="278"/>
      <c r="V712" s="278"/>
      <c r="W712" s="278"/>
    </row>
    <row r="713" spans="1:23" s="269" customFormat="1" ht="20.25">
      <c r="A713" s="267"/>
      <c r="B713" s="275" t="s">
        <v>2436</v>
      </c>
      <c r="C713" s="275" t="s">
        <v>3831</v>
      </c>
      <c r="D713" s="168" t="s">
        <v>5868</v>
      </c>
      <c r="E713" s="168" t="s">
        <v>1861</v>
      </c>
      <c r="F713" s="168" t="s">
        <v>4623</v>
      </c>
      <c r="G713" s="168" t="s">
        <v>4623</v>
      </c>
      <c r="H713" s="292" t="s">
        <v>4623</v>
      </c>
      <c r="I713" s="293" t="s">
        <v>4623</v>
      </c>
      <c r="J713" s="293" t="s">
        <v>4623</v>
      </c>
      <c r="K713" s="290" t="s">
        <v>4623</v>
      </c>
      <c r="L713" s="290" t="s">
        <v>4623</v>
      </c>
      <c r="M713" s="290" t="s">
        <v>4623</v>
      </c>
      <c r="N713" s="290" t="s">
        <v>4623</v>
      </c>
      <c r="O713" s="290" t="s">
        <v>4623</v>
      </c>
      <c r="P713" s="290" t="s">
        <v>999</v>
      </c>
      <c r="Q713" s="291" t="s">
        <v>4623</v>
      </c>
      <c r="R713" s="276"/>
      <c r="S713" s="277">
        <f>IF(OR(C713="",C713=T$4),NA(),MATCH($B713&amp;$C713,'Smelter Reference List'!$J:$J,0))</f>
        <v>222</v>
      </c>
      <c r="T713" s="278"/>
      <c r="U713" s="278"/>
      <c r="V713" s="278"/>
      <c r="W713" s="278"/>
    </row>
    <row r="714" spans="1:23" s="269" customFormat="1" ht="20.25">
      <c r="A714" s="267"/>
      <c r="B714" s="275" t="s">
        <v>2436</v>
      </c>
      <c r="C714" s="275" t="s">
        <v>3831</v>
      </c>
      <c r="D714" s="168" t="s">
        <v>1500</v>
      </c>
      <c r="E714" s="168" t="s">
        <v>1861</v>
      </c>
      <c r="F714" s="168" t="s">
        <v>4623</v>
      </c>
      <c r="G714" s="168" t="s">
        <v>4623</v>
      </c>
      <c r="H714" s="292" t="s">
        <v>4623</v>
      </c>
      <c r="I714" s="293" t="s">
        <v>4623</v>
      </c>
      <c r="J714" s="293" t="s">
        <v>4623</v>
      </c>
      <c r="K714" s="290" t="s">
        <v>4623</v>
      </c>
      <c r="L714" s="290" t="s">
        <v>4623</v>
      </c>
      <c r="M714" s="290" t="s">
        <v>4623</v>
      </c>
      <c r="N714" s="290" t="s">
        <v>4623</v>
      </c>
      <c r="O714" s="290" t="s">
        <v>4623</v>
      </c>
      <c r="P714" s="290" t="s">
        <v>999</v>
      </c>
      <c r="Q714" s="291" t="s">
        <v>4623</v>
      </c>
      <c r="R714" s="276"/>
      <c r="S714" s="277">
        <f>IF(OR(C714="",C714=T$4),NA(),MATCH($B714&amp;$C714,'Smelter Reference List'!$J:$J,0))</f>
        <v>222</v>
      </c>
      <c r="T714" s="278"/>
      <c r="U714" s="278"/>
      <c r="V714" s="278"/>
      <c r="W714" s="278"/>
    </row>
    <row r="715" spans="1:23" s="269" customFormat="1" ht="20.25">
      <c r="A715" s="267"/>
      <c r="B715" s="275" t="s">
        <v>2436</v>
      </c>
      <c r="C715" s="275" t="s">
        <v>3831</v>
      </c>
      <c r="D715" s="168" t="s">
        <v>5869</v>
      </c>
      <c r="E715" s="168" t="s">
        <v>1861</v>
      </c>
      <c r="F715" s="168" t="s">
        <v>4623</v>
      </c>
      <c r="G715" s="168" t="s">
        <v>4623</v>
      </c>
      <c r="H715" s="292" t="s">
        <v>4623</v>
      </c>
      <c r="I715" s="293" t="s">
        <v>4623</v>
      </c>
      <c r="J715" s="293" t="s">
        <v>4623</v>
      </c>
      <c r="K715" s="290" t="s">
        <v>4623</v>
      </c>
      <c r="L715" s="290" t="s">
        <v>4623</v>
      </c>
      <c r="M715" s="290" t="s">
        <v>4623</v>
      </c>
      <c r="N715" s="290" t="s">
        <v>4623</v>
      </c>
      <c r="O715" s="290" t="s">
        <v>4623</v>
      </c>
      <c r="P715" s="290" t="s">
        <v>999</v>
      </c>
      <c r="Q715" s="291" t="s">
        <v>4623</v>
      </c>
      <c r="R715" s="276"/>
      <c r="S715" s="277">
        <f>IF(OR(C715="",C715=T$4),NA(),MATCH($B715&amp;$C715,'Smelter Reference List'!$J:$J,0))</f>
        <v>222</v>
      </c>
      <c r="T715" s="278"/>
      <c r="U715" s="278"/>
      <c r="V715" s="278"/>
      <c r="W715" s="278"/>
    </row>
    <row r="716" spans="1:23" s="269" customFormat="1" ht="20.25">
      <c r="A716" s="267"/>
      <c r="B716" s="275" t="s">
        <v>2436</v>
      </c>
      <c r="C716" s="275" t="s">
        <v>3831</v>
      </c>
      <c r="D716" s="168" t="s">
        <v>5870</v>
      </c>
      <c r="E716" s="168" t="s">
        <v>1861</v>
      </c>
      <c r="F716" s="168" t="s">
        <v>4623</v>
      </c>
      <c r="G716" s="168" t="s">
        <v>4623</v>
      </c>
      <c r="H716" s="292" t="s">
        <v>4623</v>
      </c>
      <c r="I716" s="293" t="s">
        <v>4623</v>
      </c>
      <c r="J716" s="293" t="s">
        <v>4623</v>
      </c>
      <c r="K716" s="290" t="s">
        <v>4623</v>
      </c>
      <c r="L716" s="290" t="s">
        <v>4623</v>
      </c>
      <c r="M716" s="290" t="s">
        <v>4623</v>
      </c>
      <c r="N716" s="290" t="s">
        <v>4623</v>
      </c>
      <c r="O716" s="290" t="s">
        <v>4623</v>
      </c>
      <c r="P716" s="290" t="s">
        <v>999</v>
      </c>
      <c r="Q716" s="291" t="s">
        <v>4623</v>
      </c>
      <c r="R716" s="276"/>
      <c r="S716" s="277">
        <f>IF(OR(C716="",C716=T$4),NA(),MATCH($B716&amp;$C716,'Smelter Reference List'!$J:$J,0))</f>
        <v>222</v>
      </c>
      <c r="T716" s="278"/>
      <c r="U716" s="278"/>
      <c r="V716" s="278"/>
      <c r="W716" s="278"/>
    </row>
    <row r="717" spans="1:23" s="269" customFormat="1" ht="20.25">
      <c r="A717" s="267"/>
      <c r="B717" s="275" t="s">
        <v>2436</v>
      </c>
      <c r="C717" s="275" t="s">
        <v>3831</v>
      </c>
      <c r="D717" s="168" t="s">
        <v>5871</v>
      </c>
      <c r="E717" s="168" t="s">
        <v>1861</v>
      </c>
      <c r="F717" s="168" t="s">
        <v>4623</v>
      </c>
      <c r="G717" s="168" t="s">
        <v>4623</v>
      </c>
      <c r="H717" s="292" t="s">
        <v>4623</v>
      </c>
      <c r="I717" s="293" t="s">
        <v>4623</v>
      </c>
      <c r="J717" s="293" t="s">
        <v>4623</v>
      </c>
      <c r="K717" s="290" t="s">
        <v>4623</v>
      </c>
      <c r="L717" s="290" t="s">
        <v>4623</v>
      </c>
      <c r="M717" s="290" t="s">
        <v>4623</v>
      </c>
      <c r="N717" s="290" t="s">
        <v>4623</v>
      </c>
      <c r="O717" s="290" t="s">
        <v>4623</v>
      </c>
      <c r="P717" s="290" t="s">
        <v>999</v>
      </c>
      <c r="Q717" s="291" t="s">
        <v>4623</v>
      </c>
      <c r="R717" s="276"/>
      <c r="S717" s="277">
        <f>IF(OR(C717="",C717=T$4),NA(),MATCH($B717&amp;$C717,'Smelter Reference List'!$J:$J,0))</f>
        <v>222</v>
      </c>
      <c r="T717" s="278"/>
      <c r="U717" s="278"/>
      <c r="V717" s="278"/>
      <c r="W717" s="278"/>
    </row>
    <row r="718" spans="1:23" s="269" customFormat="1" ht="20.25">
      <c r="A718" s="267"/>
      <c r="B718" s="275" t="s">
        <v>2436</v>
      </c>
      <c r="C718" s="275" t="s">
        <v>3831</v>
      </c>
      <c r="D718" s="168" t="s">
        <v>5872</v>
      </c>
      <c r="E718" s="168" t="s">
        <v>1861</v>
      </c>
      <c r="F718" s="168" t="s">
        <v>4623</v>
      </c>
      <c r="G718" s="168" t="s">
        <v>4623</v>
      </c>
      <c r="H718" s="292" t="s">
        <v>5873</v>
      </c>
      <c r="I718" s="293" t="s">
        <v>4623</v>
      </c>
      <c r="J718" s="293" t="s">
        <v>5874</v>
      </c>
      <c r="K718" s="290" t="s">
        <v>5875</v>
      </c>
      <c r="L718" s="290" t="s">
        <v>4623</v>
      </c>
      <c r="M718" s="290" t="s">
        <v>4628</v>
      </c>
      <c r="N718" s="290" t="s">
        <v>4628</v>
      </c>
      <c r="O718" s="290" t="s">
        <v>4628</v>
      </c>
      <c r="P718" s="290" t="s">
        <v>999</v>
      </c>
      <c r="Q718" s="291" t="s">
        <v>4623</v>
      </c>
      <c r="R718" s="276"/>
      <c r="S718" s="277">
        <f>IF(OR(C718="",C718=T$4),NA(),MATCH($B718&amp;$C718,'Smelter Reference List'!$J:$J,0))</f>
        <v>222</v>
      </c>
      <c r="T718" s="278"/>
      <c r="U718" s="278"/>
      <c r="V718" s="278"/>
      <c r="W718" s="278"/>
    </row>
    <row r="719" spans="1:23" s="269" customFormat="1" ht="20.25">
      <c r="A719" s="267"/>
      <c r="B719" s="275" t="s">
        <v>2436</v>
      </c>
      <c r="C719" s="275" t="s">
        <v>3831</v>
      </c>
      <c r="D719" s="168" t="s">
        <v>5876</v>
      </c>
      <c r="E719" s="168" t="s">
        <v>1861</v>
      </c>
      <c r="F719" s="168" t="s">
        <v>4623</v>
      </c>
      <c r="G719" s="168" t="s">
        <v>4623</v>
      </c>
      <c r="H719" s="292" t="s">
        <v>4623</v>
      </c>
      <c r="I719" s="293" t="s">
        <v>4623</v>
      </c>
      <c r="J719" s="293" t="s">
        <v>4623</v>
      </c>
      <c r="K719" s="290" t="s">
        <v>4623</v>
      </c>
      <c r="L719" s="290" t="s">
        <v>4623</v>
      </c>
      <c r="M719" s="290" t="s">
        <v>4623</v>
      </c>
      <c r="N719" s="290" t="s">
        <v>4623</v>
      </c>
      <c r="O719" s="290" t="s">
        <v>4623</v>
      </c>
      <c r="P719" s="290" t="s">
        <v>999</v>
      </c>
      <c r="Q719" s="291" t="s">
        <v>4623</v>
      </c>
      <c r="R719" s="276"/>
      <c r="S719" s="277">
        <f>IF(OR(C719="",C719=T$4),NA(),MATCH($B719&amp;$C719,'Smelter Reference List'!$J:$J,0))</f>
        <v>222</v>
      </c>
      <c r="T719" s="278"/>
      <c r="U719" s="278"/>
      <c r="V719" s="278"/>
      <c r="W719" s="278"/>
    </row>
    <row r="720" spans="1:23" s="269" customFormat="1" ht="20.25">
      <c r="A720" s="267"/>
      <c r="B720" s="275" t="s">
        <v>2436</v>
      </c>
      <c r="C720" s="275" t="s">
        <v>3831</v>
      </c>
      <c r="D720" s="168" t="s">
        <v>5877</v>
      </c>
      <c r="E720" s="168" t="s">
        <v>1861</v>
      </c>
      <c r="F720" s="168" t="s">
        <v>4623</v>
      </c>
      <c r="G720" s="168" t="s">
        <v>4623</v>
      </c>
      <c r="H720" s="292" t="s">
        <v>4623</v>
      </c>
      <c r="I720" s="293" t="s">
        <v>4623</v>
      </c>
      <c r="J720" s="293" t="s">
        <v>4623</v>
      </c>
      <c r="K720" s="290" t="s">
        <v>4623</v>
      </c>
      <c r="L720" s="290" t="s">
        <v>4623</v>
      </c>
      <c r="M720" s="290" t="s">
        <v>4623</v>
      </c>
      <c r="N720" s="290" t="s">
        <v>4623</v>
      </c>
      <c r="O720" s="290" t="s">
        <v>4623</v>
      </c>
      <c r="P720" s="290" t="s">
        <v>999</v>
      </c>
      <c r="Q720" s="291" t="s">
        <v>4623</v>
      </c>
      <c r="R720" s="276"/>
      <c r="S720" s="277">
        <f>IF(OR(C720="",C720=T$4),NA(),MATCH($B720&amp;$C720,'Smelter Reference List'!$J:$J,0))</f>
        <v>222</v>
      </c>
      <c r="T720" s="278"/>
      <c r="U720" s="278"/>
      <c r="V720" s="278"/>
      <c r="W720" s="278"/>
    </row>
    <row r="721" spans="1:23" s="269" customFormat="1" ht="20.25">
      <c r="A721" s="267"/>
      <c r="B721" s="275" t="s">
        <v>2436</v>
      </c>
      <c r="C721" s="275" t="s">
        <v>3831</v>
      </c>
      <c r="D721" s="168" t="s">
        <v>5878</v>
      </c>
      <c r="E721" s="168" t="s">
        <v>1861</v>
      </c>
      <c r="F721" s="168" t="s">
        <v>4623</v>
      </c>
      <c r="G721" s="168" t="s">
        <v>4623</v>
      </c>
      <c r="H721" s="292" t="s">
        <v>4623</v>
      </c>
      <c r="I721" s="293" t="s">
        <v>4623</v>
      </c>
      <c r="J721" s="293" t="s">
        <v>4623</v>
      </c>
      <c r="K721" s="290" t="s">
        <v>4623</v>
      </c>
      <c r="L721" s="290" t="s">
        <v>4623</v>
      </c>
      <c r="M721" s="290" t="s">
        <v>4623</v>
      </c>
      <c r="N721" s="290" t="s">
        <v>4623</v>
      </c>
      <c r="O721" s="290" t="s">
        <v>4623</v>
      </c>
      <c r="P721" s="290" t="s">
        <v>999</v>
      </c>
      <c r="Q721" s="291" t="s">
        <v>4623</v>
      </c>
      <c r="R721" s="276"/>
      <c r="S721" s="277">
        <f>IF(OR(C721="",C721=T$4),NA(),MATCH($B721&amp;$C721,'Smelter Reference List'!$J:$J,0))</f>
        <v>222</v>
      </c>
      <c r="T721" s="278"/>
      <c r="U721" s="278"/>
      <c r="V721" s="278"/>
      <c r="W721" s="278"/>
    </row>
    <row r="722" spans="1:23" s="269" customFormat="1" ht="20.25">
      <c r="A722" s="267"/>
      <c r="B722" s="275" t="s">
        <v>2436</v>
      </c>
      <c r="C722" s="275" t="s">
        <v>3831</v>
      </c>
      <c r="D722" s="168" t="s">
        <v>5879</v>
      </c>
      <c r="E722" s="168" t="s">
        <v>1861</v>
      </c>
      <c r="F722" s="168" t="s">
        <v>4623</v>
      </c>
      <c r="G722" s="168" t="s">
        <v>4623</v>
      </c>
      <c r="H722" s="292" t="s">
        <v>5880</v>
      </c>
      <c r="I722" s="293" t="s">
        <v>5881</v>
      </c>
      <c r="J722" s="293" t="s">
        <v>3506</v>
      </c>
      <c r="K722" s="290" t="s">
        <v>5882</v>
      </c>
      <c r="L722" s="290" t="s">
        <v>4623</v>
      </c>
      <c r="M722" s="290" t="s">
        <v>4623</v>
      </c>
      <c r="N722" s="290" t="s">
        <v>4623</v>
      </c>
      <c r="O722" s="290" t="s">
        <v>4623</v>
      </c>
      <c r="P722" s="290" t="s">
        <v>999</v>
      </c>
      <c r="Q722" s="291" t="s">
        <v>4623</v>
      </c>
      <c r="R722" s="276"/>
      <c r="S722" s="277">
        <f>IF(OR(C722="",C722=T$4),NA(),MATCH($B722&amp;$C722,'Smelter Reference List'!$J:$J,0))</f>
        <v>222</v>
      </c>
      <c r="T722" s="278"/>
      <c r="U722" s="278"/>
      <c r="V722" s="278"/>
      <c r="W722" s="278"/>
    </row>
    <row r="723" spans="1:23" s="269" customFormat="1" ht="20.25">
      <c r="A723" s="267"/>
      <c r="B723" s="275" t="s">
        <v>2436</v>
      </c>
      <c r="C723" s="275" t="s">
        <v>3831</v>
      </c>
      <c r="D723" s="168" t="s">
        <v>5509</v>
      </c>
      <c r="E723" s="168" t="s">
        <v>1861</v>
      </c>
      <c r="F723" s="168" t="s">
        <v>4623</v>
      </c>
      <c r="G723" s="168" t="s">
        <v>4623</v>
      </c>
      <c r="H723" s="292" t="s">
        <v>4623</v>
      </c>
      <c r="I723" s="293" t="s">
        <v>4623</v>
      </c>
      <c r="J723" s="293" t="s">
        <v>4623</v>
      </c>
      <c r="K723" s="290" t="s">
        <v>4623</v>
      </c>
      <c r="L723" s="290" t="s">
        <v>4623</v>
      </c>
      <c r="M723" s="290" t="s">
        <v>4623</v>
      </c>
      <c r="N723" s="290" t="s">
        <v>4623</v>
      </c>
      <c r="O723" s="290" t="s">
        <v>4623</v>
      </c>
      <c r="P723" s="290" t="s">
        <v>999</v>
      </c>
      <c r="Q723" s="291" t="s">
        <v>4623</v>
      </c>
      <c r="R723" s="276"/>
      <c r="S723" s="277">
        <f>IF(OR(C723="",C723=T$4),NA(),MATCH($B723&amp;$C723,'Smelter Reference List'!$J:$J,0))</f>
        <v>222</v>
      </c>
      <c r="T723" s="278"/>
      <c r="U723" s="278"/>
      <c r="V723" s="278"/>
      <c r="W723" s="278"/>
    </row>
    <row r="724" spans="1:23" s="269" customFormat="1" ht="20.25">
      <c r="A724" s="267"/>
      <c r="B724" s="275" t="s">
        <v>2436</v>
      </c>
      <c r="C724" s="275" t="s">
        <v>3831</v>
      </c>
      <c r="D724" s="168" t="s">
        <v>5883</v>
      </c>
      <c r="E724" s="168" t="s">
        <v>1861</v>
      </c>
      <c r="F724" s="168" t="s">
        <v>4623</v>
      </c>
      <c r="G724" s="168" t="s">
        <v>4623</v>
      </c>
      <c r="H724" s="292" t="s">
        <v>4623</v>
      </c>
      <c r="I724" s="293" t="s">
        <v>4623</v>
      </c>
      <c r="J724" s="293" t="s">
        <v>4623</v>
      </c>
      <c r="K724" s="290" t="s">
        <v>4623</v>
      </c>
      <c r="L724" s="290" t="s">
        <v>4623</v>
      </c>
      <c r="M724" s="290" t="s">
        <v>4623</v>
      </c>
      <c r="N724" s="290" t="s">
        <v>4623</v>
      </c>
      <c r="O724" s="290" t="s">
        <v>4623</v>
      </c>
      <c r="P724" s="290" t="s">
        <v>999</v>
      </c>
      <c r="Q724" s="291" t="s">
        <v>4623</v>
      </c>
      <c r="R724" s="276"/>
      <c r="S724" s="277">
        <f>IF(OR(C724="",C724=T$4),NA(),MATCH($B724&amp;$C724,'Smelter Reference List'!$J:$J,0))</f>
        <v>222</v>
      </c>
      <c r="T724" s="278"/>
      <c r="U724" s="278"/>
      <c r="V724" s="278"/>
      <c r="W724" s="278"/>
    </row>
    <row r="725" spans="1:23" s="269" customFormat="1" ht="20.25">
      <c r="A725" s="267"/>
      <c r="B725" s="275" t="s">
        <v>2436</v>
      </c>
      <c r="C725" s="275" t="s">
        <v>3831</v>
      </c>
      <c r="D725" s="168" t="s">
        <v>5884</v>
      </c>
      <c r="E725" s="168" t="s">
        <v>1861</v>
      </c>
      <c r="F725" s="168" t="s">
        <v>4623</v>
      </c>
      <c r="G725" s="168" t="s">
        <v>4623</v>
      </c>
      <c r="H725" s="292" t="s">
        <v>4623</v>
      </c>
      <c r="I725" s="293" t="s">
        <v>4623</v>
      </c>
      <c r="J725" s="293" t="s">
        <v>4623</v>
      </c>
      <c r="K725" s="290" t="s">
        <v>4623</v>
      </c>
      <c r="L725" s="290" t="s">
        <v>4623</v>
      </c>
      <c r="M725" s="290" t="s">
        <v>4623</v>
      </c>
      <c r="N725" s="290" t="s">
        <v>4623</v>
      </c>
      <c r="O725" s="290" t="s">
        <v>4623</v>
      </c>
      <c r="P725" s="290" t="s">
        <v>999</v>
      </c>
      <c r="Q725" s="291" t="s">
        <v>4623</v>
      </c>
      <c r="R725" s="276"/>
      <c r="S725" s="277">
        <f>IF(OR(C725="",C725=T$4),NA(),MATCH($B725&amp;$C725,'Smelter Reference List'!$J:$J,0))</f>
        <v>222</v>
      </c>
      <c r="T725" s="278"/>
      <c r="U725" s="278"/>
      <c r="V725" s="278"/>
      <c r="W725" s="278"/>
    </row>
    <row r="726" spans="1:23" s="269" customFormat="1" ht="20.25">
      <c r="A726" s="267"/>
      <c r="B726" s="275" t="s">
        <v>2436</v>
      </c>
      <c r="C726" s="275" t="s">
        <v>3831</v>
      </c>
      <c r="D726" s="168" t="s">
        <v>5885</v>
      </c>
      <c r="E726" s="168" t="s">
        <v>1851</v>
      </c>
      <c r="F726" s="168" t="s">
        <v>4623</v>
      </c>
      <c r="G726" s="168" t="s">
        <v>4623</v>
      </c>
      <c r="H726" s="292" t="s">
        <v>5886</v>
      </c>
      <c r="I726" s="293" t="s">
        <v>5887</v>
      </c>
      <c r="J726" s="293" t="s">
        <v>5888</v>
      </c>
      <c r="K726" s="290" t="s">
        <v>5889</v>
      </c>
      <c r="L726" s="290" t="s">
        <v>5890</v>
      </c>
      <c r="M726" s="290" t="s">
        <v>4623</v>
      </c>
      <c r="N726" s="290" t="s">
        <v>4628</v>
      </c>
      <c r="O726" s="290" t="s">
        <v>4628</v>
      </c>
      <c r="P726" s="290" t="s">
        <v>999</v>
      </c>
      <c r="Q726" s="291" t="s">
        <v>4623</v>
      </c>
      <c r="R726" s="276"/>
      <c r="S726" s="277">
        <f>IF(OR(C726="",C726=T$4),NA(),MATCH($B726&amp;$C726,'Smelter Reference List'!$J:$J,0))</f>
        <v>222</v>
      </c>
      <c r="T726" s="278"/>
      <c r="U726" s="278"/>
      <c r="V726" s="278"/>
      <c r="W726" s="278"/>
    </row>
    <row r="727" spans="1:23" s="269" customFormat="1" ht="20.25">
      <c r="A727" s="267"/>
      <c r="B727" s="275" t="s">
        <v>2436</v>
      </c>
      <c r="C727" s="275" t="s">
        <v>3831</v>
      </c>
      <c r="D727" s="168" t="s">
        <v>5891</v>
      </c>
      <c r="E727" s="168" t="s">
        <v>1851</v>
      </c>
      <c r="F727" s="168" t="s">
        <v>4623</v>
      </c>
      <c r="G727" s="168" t="s">
        <v>4623</v>
      </c>
      <c r="H727" s="292" t="s">
        <v>4623</v>
      </c>
      <c r="I727" s="293" t="s">
        <v>4623</v>
      </c>
      <c r="J727" s="293" t="s">
        <v>4623</v>
      </c>
      <c r="K727" s="290" t="s">
        <v>4623</v>
      </c>
      <c r="L727" s="290" t="s">
        <v>4623</v>
      </c>
      <c r="M727" s="290" t="s">
        <v>4623</v>
      </c>
      <c r="N727" s="290" t="s">
        <v>4623</v>
      </c>
      <c r="O727" s="290" t="s">
        <v>4623</v>
      </c>
      <c r="P727" s="290" t="s">
        <v>999</v>
      </c>
      <c r="Q727" s="291" t="s">
        <v>4623</v>
      </c>
      <c r="R727" s="276"/>
      <c r="S727" s="277">
        <f>IF(OR(C727="",C727=T$4),NA(),MATCH($B727&amp;$C727,'Smelter Reference List'!$J:$J,0))</f>
        <v>222</v>
      </c>
      <c r="T727" s="278"/>
      <c r="U727" s="278"/>
      <c r="V727" s="278"/>
      <c r="W727" s="278"/>
    </row>
    <row r="728" spans="1:23" s="269" customFormat="1" ht="20.25">
      <c r="A728" s="267"/>
      <c r="B728" s="275" t="s">
        <v>2436</v>
      </c>
      <c r="C728" s="275" t="s">
        <v>3831</v>
      </c>
      <c r="D728" s="168" t="s">
        <v>5892</v>
      </c>
      <c r="E728" s="168" t="s">
        <v>1851</v>
      </c>
      <c r="F728" s="168" t="s">
        <v>4623</v>
      </c>
      <c r="G728" s="168" t="s">
        <v>4623</v>
      </c>
      <c r="H728" s="292" t="s">
        <v>5893</v>
      </c>
      <c r="I728" s="293" t="s">
        <v>5894</v>
      </c>
      <c r="J728" s="293" t="s">
        <v>5895</v>
      </c>
      <c r="K728" s="290" t="s">
        <v>4623</v>
      </c>
      <c r="L728" s="290" t="s">
        <v>5896</v>
      </c>
      <c r="M728" s="290" t="s">
        <v>5001</v>
      </c>
      <c r="N728" s="290" t="s">
        <v>5897</v>
      </c>
      <c r="O728" s="290" t="s">
        <v>5897</v>
      </c>
      <c r="P728" s="290" t="s">
        <v>999</v>
      </c>
      <c r="Q728" s="291" t="s">
        <v>4623</v>
      </c>
      <c r="R728" s="276"/>
      <c r="S728" s="277">
        <f>IF(OR(C728="",C728=T$4),NA(),MATCH($B728&amp;$C728,'Smelter Reference List'!$J:$J,0))</f>
        <v>222</v>
      </c>
      <c r="T728" s="278"/>
      <c r="U728" s="278"/>
      <c r="V728" s="278"/>
      <c r="W728" s="278"/>
    </row>
    <row r="729" spans="1:23" s="269" customFormat="1" ht="20.25">
      <c r="A729" s="267"/>
      <c r="B729" s="275" t="s">
        <v>2436</v>
      </c>
      <c r="C729" s="275" t="s">
        <v>3831</v>
      </c>
      <c r="D729" s="168" t="s">
        <v>2061</v>
      </c>
      <c r="E729" s="168" t="s">
        <v>1851</v>
      </c>
      <c r="F729" s="168" t="s">
        <v>4623</v>
      </c>
      <c r="G729" s="168" t="s">
        <v>4623</v>
      </c>
      <c r="H729" s="292" t="s">
        <v>4623</v>
      </c>
      <c r="I729" s="293" t="s">
        <v>4623</v>
      </c>
      <c r="J729" s="293" t="s">
        <v>4623</v>
      </c>
      <c r="K729" s="290" t="s">
        <v>4623</v>
      </c>
      <c r="L729" s="290" t="s">
        <v>4623</v>
      </c>
      <c r="M729" s="290" t="s">
        <v>4623</v>
      </c>
      <c r="N729" s="290" t="s">
        <v>4623</v>
      </c>
      <c r="O729" s="290" t="s">
        <v>4623</v>
      </c>
      <c r="P729" s="290" t="s">
        <v>999</v>
      </c>
      <c r="Q729" s="291" t="s">
        <v>4623</v>
      </c>
      <c r="R729" s="276"/>
      <c r="S729" s="277">
        <f>IF(OR(C729="",C729=T$4),NA(),MATCH($B729&amp;$C729,'Smelter Reference List'!$J:$J,0))</f>
        <v>222</v>
      </c>
      <c r="T729" s="278"/>
      <c r="U729" s="278"/>
      <c r="V729" s="278"/>
      <c r="W729" s="278"/>
    </row>
    <row r="730" spans="1:23" s="269" customFormat="1" ht="20.25">
      <c r="A730" s="267"/>
      <c r="B730" s="275" t="s">
        <v>2436</v>
      </c>
      <c r="C730" s="275" t="s">
        <v>3831</v>
      </c>
      <c r="D730" s="168" t="s">
        <v>5898</v>
      </c>
      <c r="E730" s="168" t="s">
        <v>2329</v>
      </c>
      <c r="F730" s="168" t="s">
        <v>4623</v>
      </c>
      <c r="G730" s="168" t="s">
        <v>4623</v>
      </c>
      <c r="H730" s="292" t="s">
        <v>4623</v>
      </c>
      <c r="I730" s="293" t="s">
        <v>4623</v>
      </c>
      <c r="J730" s="293" t="s">
        <v>4623</v>
      </c>
      <c r="K730" s="290" t="s">
        <v>4623</v>
      </c>
      <c r="L730" s="290" t="s">
        <v>4623</v>
      </c>
      <c r="M730" s="290" t="s">
        <v>4623</v>
      </c>
      <c r="N730" s="290" t="s">
        <v>4623</v>
      </c>
      <c r="O730" s="290" t="s">
        <v>4623</v>
      </c>
      <c r="P730" s="290" t="s">
        <v>999</v>
      </c>
      <c r="Q730" s="291" t="s">
        <v>4623</v>
      </c>
      <c r="R730" s="276"/>
      <c r="S730" s="277">
        <f>IF(OR(C730="",C730=T$4),NA(),MATCH($B730&amp;$C730,'Smelter Reference List'!$J:$J,0))</f>
        <v>222</v>
      </c>
      <c r="T730" s="278"/>
      <c r="U730" s="278"/>
      <c r="V730" s="278"/>
      <c r="W730" s="278"/>
    </row>
    <row r="731" spans="1:23" s="269" customFormat="1" ht="20.25">
      <c r="A731" s="267"/>
      <c r="B731" s="275" t="s">
        <v>2436</v>
      </c>
      <c r="C731" s="275" t="s">
        <v>3831</v>
      </c>
      <c r="D731" s="168" t="s">
        <v>5899</v>
      </c>
      <c r="E731" s="168" t="s">
        <v>2329</v>
      </c>
      <c r="F731" s="168" t="s">
        <v>4623</v>
      </c>
      <c r="G731" s="168" t="s">
        <v>4623</v>
      </c>
      <c r="H731" s="292" t="s">
        <v>4623</v>
      </c>
      <c r="I731" s="293" t="s">
        <v>4623</v>
      </c>
      <c r="J731" s="293" t="s">
        <v>4623</v>
      </c>
      <c r="K731" s="290" t="s">
        <v>4623</v>
      </c>
      <c r="L731" s="290" t="s">
        <v>4623</v>
      </c>
      <c r="M731" s="290" t="s">
        <v>4623</v>
      </c>
      <c r="N731" s="290" t="s">
        <v>4623</v>
      </c>
      <c r="O731" s="290" t="s">
        <v>4623</v>
      </c>
      <c r="P731" s="290" t="s">
        <v>999</v>
      </c>
      <c r="Q731" s="291" t="s">
        <v>4623</v>
      </c>
      <c r="R731" s="276"/>
      <c r="S731" s="277">
        <f>IF(OR(C731="",C731=T$4),NA(),MATCH($B731&amp;$C731,'Smelter Reference List'!$J:$J,0))</f>
        <v>222</v>
      </c>
      <c r="T731" s="278"/>
      <c r="U731" s="278"/>
      <c r="V731" s="278"/>
      <c r="W731" s="278"/>
    </row>
    <row r="732" spans="1:23" s="269" customFormat="1" ht="20.25">
      <c r="A732" s="267"/>
      <c r="B732" s="275" t="s">
        <v>2436</v>
      </c>
      <c r="C732" s="275" t="s">
        <v>3831</v>
      </c>
      <c r="D732" s="168" t="s">
        <v>5900</v>
      </c>
      <c r="E732" s="168" t="s">
        <v>2329</v>
      </c>
      <c r="F732" s="168" t="s">
        <v>4623</v>
      </c>
      <c r="G732" s="168" t="s">
        <v>4623</v>
      </c>
      <c r="H732" s="292" t="s">
        <v>5901</v>
      </c>
      <c r="I732" s="293" t="s">
        <v>4623</v>
      </c>
      <c r="J732" s="293" t="s">
        <v>4623</v>
      </c>
      <c r="K732" s="290" t="s">
        <v>4623</v>
      </c>
      <c r="L732" s="290" t="s">
        <v>4623</v>
      </c>
      <c r="M732" s="290" t="s">
        <v>4623</v>
      </c>
      <c r="N732" s="290" t="s">
        <v>4623</v>
      </c>
      <c r="O732" s="290" t="s">
        <v>4623</v>
      </c>
      <c r="P732" s="290" t="s">
        <v>999</v>
      </c>
      <c r="Q732" s="291" t="s">
        <v>4623</v>
      </c>
      <c r="R732" s="276"/>
      <c r="S732" s="277">
        <f>IF(OR(C732="",C732=T$4),NA(),MATCH($B732&amp;$C732,'Smelter Reference List'!$J:$J,0))</f>
        <v>222</v>
      </c>
      <c r="T732" s="278"/>
      <c r="U732" s="278"/>
      <c r="V732" s="278"/>
      <c r="W732" s="278"/>
    </row>
    <row r="733" spans="1:23" s="269" customFormat="1" ht="20.25">
      <c r="A733" s="267"/>
      <c r="B733" s="275" t="s">
        <v>2436</v>
      </c>
      <c r="C733" s="275" t="s">
        <v>3831</v>
      </c>
      <c r="D733" s="168" t="s">
        <v>5902</v>
      </c>
      <c r="E733" s="168" t="s">
        <v>2329</v>
      </c>
      <c r="F733" s="168" t="s">
        <v>4623</v>
      </c>
      <c r="G733" s="168" t="s">
        <v>4623</v>
      </c>
      <c r="H733" s="292" t="s">
        <v>4623</v>
      </c>
      <c r="I733" s="293" t="s">
        <v>4623</v>
      </c>
      <c r="J733" s="293" t="s">
        <v>4623</v>
      </c>
      <c r="K733" s="290" t="s">
        <v>4623</v>
      </c>
      <c r="L733" s="290" t="s">
        <v>4623</v>
      </c>
      <c r="M733" s="290" t="s">
        <v>4623</v>
      </c>
      <c r="N733" s="290" t="s">
        <v>4623</v>
      </c>
      <c r="O733" s="290" t="s">
        <v>4623</v>
      </c>
      <c r="P733" s="290" t="s">
        <v>999</v>
      </c>
      <c r="Q733" s="291" t="s">
        <v>4623</v>
      </c>
      <c r="R733" s="276"/>
      <c r="S733" s="277">
        <f>IF(OR(C733="",C733=T$4),NA(),MATCH($B733&amp;$C733,'Smelter Reference List'!$J:$J,0))</f>
        <v>222</v>
      </c>
      <c r="T733" s="278"/>
      <c r="U733" s="278"/>
      <c r="V733" s="278"/>
      <c r="W733" s="278"/>
    </row>
    <row r="734" spans="1:23" s="269" customFormat="1" ht="20.25">
      <c r="A734" s="267"/>
      <c r="B734" s="275" t="s">
        <v>2436</v>
      </c>
      <c r="C734" s="275" t="s">
        <v>3831</v>
      </c>
      <c r="D734" s="168" t="s">
        <v>5462</v>
      </c>
      <c r="E734" s="168" t="s">
        <v>2329</v>
      </c>
      <c r="F734" s="168" t="s">
        <v>4623</v>
      </c>
      <c r="G734" s="168" t="s">
        <v>4623</v>
      </c>
      <c r="H734" s="292" t="s">
        <v>4623</v>
      </c>
      <c r="I734" s="293" t="s">
        <v>4623</v>
      </c>
      <c r="J734" s="293" t="s">
        <v>4623</v>
      </c>
      <c r="K734" s="290" t="s">
        <v>4623</v>
      </c>
      <c r="L734" s="290" t="s">
        <v>4623</v>
      </c>
      <c r="M734" s="290" t="s">
        <v>4623</v>
      </c>
      <c r="N734" s="290" t="s">
        <v>4623</v>
      </c>
      <c r="O734" s="290" t="s">
        <v>4623</v>
      </c>
      <c r="P734" s="290" t="s">
        <v>999</v>
      </c>
      <c r="Q734" s="291" t="s">
        <v>4623</v>
      </c>
      <c r="R734" s="276"/>
      <c r="S734" s="277">
        <f>IF(OR(C734="",C734=T$4),NA(),MATCH($B734&amp;$C734,'Smelter Reference List'!$J:$J,0))</f>
        <v>222</v>
      </c>
      <c r="T734" s="278"/>
      <c r="U734" s="278"/>
      <c r="V734" s="278"/>
      <c r="W734" s="278"/>
    </row>
    <row r="735" spans="1:23" s="269" customFormat="1" ht="20.25">
      <c r="A735" s="267"/>
      <c r="B735" s="275" t="s">
        <v>2436</v>
      </c>
      <c r="C735" s="275" t="s">
        <v>3831</v>
      </c>
      <c r="D735" s="168" t="s">
        <v>5903</v>
      </c>
      <c r="E735" s="168" t="s">
        <v>1867</v>
      </c>
      <c r="F735" s="168" t="s">
        <v>4623</v>
      </c>
      <c r="G735" s="168" t="s">
        <v>4623</v>
      </c>
      <c r="H735" s="292" t="s">
        <v>4623</v>
      </c>
      <c r="I735" s="293" t="s">
        <v>4623</v>
      </c>
      <c r="J735" s="293" t="s">
        <v>4623</v>
      </c>
      <c r="K735" s="290" t="s">
        <v>4623</v>
      </c>
      <c r="L735" s="290" t="s">
        <v>4623</v>
      </c>
      <c r="M735" s="290" t="s">
        <v>4623</v>
      </c>
      <c r="N735" s="290" t="s">
        <v>4623</v>
      </c>
      <c r="O735" s="290" t="s">
        <v>4623</v>
      </c>
      <c r="P735" s="290" t="s">
        <v>999</v>
      </c>
      <c r="Q735" s="291" t="s">
        <v>4623</v>
      </c>
      <c r="R735" s="276"/>
      <c r="S735" s="277">
        <f>IF(OR(C735="",C735=T$4),NA(),MATCH($B735&amp;$C735,'Smelter Reference List'!$J:$J,0))</f>
        <v>222</v>
      </c>
      <c r="T735" s="278"/>
      <c r="U735" s="278"/>
      <c r="V735" s="278"/>
      <c r="W735" s="278"/>
    </row>
    <row r="736" spans="1:23" s="269" customFormat="1" ht="20.25">
      <c r="A736" s="267"/>
      <c r="B736" s="275" t="s">
        <v>2436</v>
      </c>
      <c r="C736" s="275" t="s">
        <v>3831</v>
      </c>
      <c r="D736" s="168" t="s">
        <v>82</v>
      </c>
      <c r="E736" s="168" t="s">
        <v>1867</v>
      </c>
      <c r="F736" s="168" t="s">
        <v>4623</v>
      </c>
      <c r="G736" s="168" t="s">
        <v>4623</v>
      </c>
      <c r="H736" s="292" t="s">
        <v>4623</v>
      </c>
      <c r="I736" s="293" t="s">
        <v>4623</v>
      </c>
      <c r="J736" s="293" t="s">
        <v>4623</v>
      </c>
      <c r="K736" s="290" t="s">
        <v>4623</v>
      </c>
      <c r="L736" s="290" t="s">
        <v>4623</v>
      </c>
      <c r="M736" s="290" t="s">
        <v>4623</v>
      </c>
      <c r="N736" s="290" t="s">
        <v>4623</v>
      </c>
      <c r="O736" s="290" t="s">
        <v>4623</v>
      </c>
      <c r="P736" s="290" t="s">
        <v>999</v>
      </c>
      <c r="Q736" s="291" t="s">
        <v>4623</v>
      </c>
      <c r="R736" s="276"/>
      <c r="S736" s="277">
        <f>IF(OR(C736="",C736=T$4),NA(),MATCH($B736&amp;$C736,'Smelter Reference List'!$J:$J,0))</f>
        <v>222</v>
      </c>
      <c r="T736" s="278"/>
      <c r="U736" s="278"/>
      <c r="V736" s="278"/>
      <c r="W736" s="278"/>
    </row>
    <row r="737" spans="1:23" s="269" customFormat="1" ht="20.25">
      <c r="A737" s="267"/>
      <c r="B737" s="275" t="s">
        <v>2436</v>
      </c>
      <c r="C737" s="275" t="s">
        <v>3831</v>
      </c>
      <c r="D737" s="168" t="s">
        <v>5904</v>
      </c>
      <c r="E737" s="168" t="s">
        <v>1867</v>
      </c>
      <c r="F737" s="168" t="s">
        <v>4623</v>
      </c>
      <c r="G737" s="168" t="s">
        <v>4623</v>
      </c>
      <c r="H737" s="292" t="s">
        <v>4623</v>
      </c>
      <c r="I737" s="293" t="s">
        <v>4623</v>
      </c>
      <c r="J737" s="293" t="s">
        <v>4623</v>
      </c>
      <c r="K737" s="290" t="s">
        <v>4623</v>
      </c>
      <c r="L737" s="290" t="s">
        <v>4623</v>
      </c>
      <c r="M737" s="290" t="s">
        <v>4623</v>
      </c>
      <c r="N737" s="290" t="s">
        <v>4623</v>
      </c>
      <c r="O737" s="290" t="s">
        <v>4623</v>
      </c>
      <c r="P737" s="290" t="s">
        <v>999</v>
      </c>
      <c r="Q737" s="291" t="s">
        <v>4623</v>
      </c>
      <c r="R737" s="276"/>
      <c r="S737" s="277">
        <f>IF(OR(C737="",C737=T$4),NA(),MATCH($B737&amp;$C737,'Smelter Reference List'!$J:$J,0))</f>
        <v>222</v>
      </c>
      <c r="T737" s="278"/>
      <c r="U737" s="278"/>
      <c r="V737" s="278"/>
      <c r="W737" s="278"/>
    </row>
    <row r="738" spans="1:23" s="269" customFormat="1" ht="20.25">
      <c r="A738" s="267"/>
      <c r="B738" s="275" t="s">
        <v>2436</v>
      </c>
      <c r="C738" s="275" t="s">
        <v>3831</v>
      </c>
      <c r="D738" s="168" t="s">
        <v>5905</v>
      </c>
      <c r="E738" s="168" t="s">
        <v>1867</v>
      </c>
      <c r="F738" s="168" t="s">
        <v>4623</v>
      </c>
      <c r="G738" s="168" t="s">
        <v>4623</v>
      </c>
      <c r="H738" s="292" t="s">
        <v>4623</v>
      </c>
      <c r="I738" s="293" t="s">
        <v>4623</v>
      </c>
      <c r="J738" s="293" t="s">
        <v>4623</v>
      </c>
      <c r="K738" s="290" t="s">
        <v>4623</v>
      </c>
      <c r="L738" s="290" t="s">
        <v>4623</v>
      </c>
      <c r="M738" s="290" t="s">
        <v>4623</v>
      </c>
      <c r="N738" s="290" t="s">
        <v>4623</v>
      </c>
      <c r="O738" s="290" t="s">
        <v>4623</v>
      </c>
      <c r="P738" s="290" t="s">
        <v>999</v>
      </c>
      <c r="Q738" s="291" t="s">
        <v>4623</v>
      </c>
      <c r="R738" s="276"/>
      <c r="S738" s="277">
        <f>IF(OR(C738="",C738=T$4),NA(),MATCH($B738&amp;$C738,'Smelter Reference List'!$J:$J,0))</f>
        <v>222</v>
      </c>
      <c r="T738" s="278"/>
      <c r="U738" s="278"/>
      <c r="V738" s="278"/>
      <c r="W738" s="278"/>
    </row>
    <row r="739" spans="1:23" s="269" customFormat="1" ht="20.25">
      <c r="A739" s="267"/>
      <c r="B739" s="275" t="s">
        <v>2436</v>
      </c>
      <c r="C739" s="275" t="s">
        <v>3831</v>
      </c>
      <c r="D739" s="168" t="s">
        <v>5906</v>
      </c>
      <c r="E739" s="168" t="s">
        <v>1867</v>
      </c>
      <c r="F739" s="168" t="s">
        <v>4623</v>
      </c>
      <c r="G739" s="168" t="s">
        <v>4623</v>
      </c>
      <c r="H739" s="292" t="s">
        <v>4623</v>
      </c>
      <c r="I739" s="293" t="s">
        <v>4623</v>
      </c>
      <c r="J739" s="293" t="s">
        <v>4623</v>
      </c>
      <c r="K739" s="290" t="s">
        <v>4623</v>
      </c>
      <c r="L739" s="290" t="s">
        <v>4623</v>
      </c>
      <c r="M739" s="290" t="s">
        <v>4623</v>
      </c>
      <c r="N739" s="290" t="s">
        <v>4623</v>
      </c>
      <c r="O739" s="290" t="s">
        <v>4623</v>
      </c>
      <c r="P739" s="290" t="s">
        <v>999</v>
      </c>
      <c r="Q739" s="291" t="s">
        <v>4623</v>
      </c>
      <c r="R739" s="276"/>
      <c r="S739" s="277">
        <f>IF(OR(C739="",C739=T$4),NA(),MATCH($B739&amp;$C739,'Smelter Reference List'!$J:$J,0))</f>
        <v>222</v>
      </c>
      <c r="T739" s="278"/>
      <c r="U739" s="278"/>
      <c r="V739" s="278"/>
      <c r="W739" s="278"/>
    </row>
    <row r="740" spans="1:23" s="269" customFormat="1" ht="20.25">
      <c r="A740" s="267"/>
      <c r="B740" s="275" t="s">
        <v>2436</v>
      </c>
      <c r="C740" s="275" t="s">
        <v>3831</v>
      </c>
      <c r="D740" s="168" t="s">
        <v>5907</v>
      </c>
      <c r="E740" s="168" t="s">
        <v>1867</v>
      </c>
      <c r="F740" s="168" t="s">
        <v>4623</v>
      </c>
      <c r="G740" s="168" t="s">
        <v>4623</v>
      </c>
      <c r="H740" s="292" t="s">
        <v>4623</v>
      </c>
      <c r="I740" s="293" t="s">
        <v>4623</v>
      </c>
      <c r="J740" s="293" t="s">
        <v>4623</v>
      </c>
      <c r="K740" s="290" t="s">
        <v>4623</v>
      </c>
      <c r="L740" s="290" t="s">
        <v>4623</v>
      </c>
      <c r="M740" s="290" t="s">
        <v>4623</v>
      </c>
      <c r="N740" s="290" t="s">
        <v>4623</v>
      </c>
      <c r="O740" s="290" t="s">
        <v>4623</v>
      </c>
      <c r="P740" s="290" t="s">
        <v>999</v>
      </c>
      <c r="Q740" s="291" t="s">
        <v>4623</v>
      </c>
      <c r="R740" s="276"/>
      <c r="S740" s="277">
        <f>IF(OR(C740="",C740=T$4),NA(),MATCH($B740&amp;$C740,'Smelter Reference List'!$J:$J,0))</f>
        <v>222</v>
      </c>
      <c r="T740" s="278"/>
      <c r="U740" s="278"/>
      <c r="V740" s="278"/>
      <c r="W740" s="278"/>
    </row>
    <row r="741" spans="1:23" s="269" customFormat="1" ht="20.25">
      <c r="A741" s="267"/>
      <c r="B741" s="275" t="s">
        <v>2436</v>
      </c>
      <c r="C741" s="275" t="s">
        <v>3831</v>
      </c>
      <c r="D741" s="168" t="s">
        <v>5908</v>
      </c>
      <c r="E741" s="168" t="s">
        <v>1867</v>
      </c>
      <c r="F741" s="168" t="s">
        <v>4623</v>
      </c>
      <c r="G741" s="168" t="s">
        <v>4623</v>
      </c>
      <c r="H741" s="292" t="s">
        <v>4623</v>
      </c>
      <c r="I741" s="293" t="s">
        <v>4623</v>
      </c>
      <c r="J741" s="293" t="s">
        <v>4623</v>
      </c>
      <c r="K741" s="290" t="s">
        <v>4623</v>
      </c>
      <c r="L741" s="290" t="s">
        <v>4623</v>
      </c>
      <c r="M741" s="290" t="s">
        <v>4623</v>
      </c>
      <c r="N741" s="290" t="s">
        <v>4623</v>
      </c>
      <c r="O741" s="290" t="s">
        <v>4623</v>
      </c>
      <c r="P741" s="290" t="s">
        <v>999</v>
      </c>
      <c r="Q741" s="291" t="s">
        <v>4623</v>
      </c>
      <c r="R741" s="276"/>
      <c r="S741" s="277">
        <f>IF(OR(C741="",C741=T$4),NA(),MATCH($B741&amp;$C741,'Smelter Reference List'!$J:$J,0))</f>
        <v>222</v>
      </c>
      <c r="T741" s="278"/>
      <c r="U741" s="278"/>
      <c r="V741" s="278"/>
      <c r="W741" s="278"/>
    </row>
    <row r="742" spans="1:23" s="269" customFormat="1" ht="20.25">
      <c r="A742" s="267"/>
      <c r="B742" s="275" t="s">
        <v>2436</v>
      </c>
      <c r="C742" s="275" t="s">
        <v>3831</v>
      </c>
      <c r="D742" s="168" t="s">
        <v>5618</v>
      </c>
      <c r="E742" s="168" t="s">
        <v>1867</v>
      </c>
      <c r="F742" s="168" t="s">
        <v>4623</v>
      </c>
      <c r="G742" s="168" t="s">
        <v>4623</v>
      </c>
      <c r="H742" s="292" t="s">
        <v>4623</v>
      </c>
      <c r="I742" s="293" t="s">
        <v>4623</v>
      </c>
      <c r="J742" s="293" t="s">
        <v>4623</v>
      </c>
      <c r="K742" s="290" t="s">
        <v>4623</v>
      </c>
      <c r="L742" s="290" t="s">
        <v>4623</v>
      </c>
      <c r="M742" s="290" t="s">
        <v>4623</v>
      </c>
      <c r="N742" s="290" t="s">
        <v>4623</v>
      </c>
      <c r="O742" s="290" t="s">
        <v>4623</v>
      </c>
      <c r="P742" s="290" t="s">
        <v>999</v>
      </c>
      <c r="Q742" s="291" t="s">
        <v>4623</v>
      </c>
      <c r="R742" s="276"/>
      <c r="S742" s="277">
        <f>IF(OR(C742="",C742=T$4),NA(),MATCH($B742&amp;$C742,'Smelter Reference List'!$J:$J,0))</f>
        <v>222</v>
      </c>
      <c r="T742" s="278"/>
      <c r="U742" s="278"/>
      <c r="V742" s="278"/>
      <c r="W742" s="278"/>
    </row>
    <row r="743" spans="1:23" s="269" customFormat="1" ht="20.25">
      <c r="A743" s="267"/>
      <c r="B743" s="275" t="s">
        <v>2436</v>
      </c>
      <c r="C743" s="275" t="s">
        <v>3831</v>
      </c>
      <c r="D743" s="168" t="s">
        <v>5909</v>
      </c>
      <c r="E743" s="168" t="s">
        <v>1867</v>
      </c>
      <c r="F743" s="168" t="s">
        <v>5910</v>
      </c>
      <c r="G743" s="168" t="s">
        <v>3324</v>
      </c>
      <c r="H743" s="292" t="s">
        <v>5911</v>
      </c>
      <c r="I743" s="293" t="s">
        <v>4623</v>
      </c>
      <c r="J743" s="293" t="s">
        <v>4623</v>
      </c>
      <c r="K743" s="290" t="s">
        <v>5912</v>
      </c>
      <c r="L743" s="290" t="s">
        <v>5913</v>
      </c>
      <c r="M743" s="290" t="s">
        <v>4623</v>
      </c>
      <c r="N743" s="290" t="s">
        <v>4623</v>
      </c>
      <c r="O743" s="290" t="s">
        <v>4623</v>
      </c>
      <c r="P743" s="290" t="s">
        <v>999</v>
      </c>
      <c r="Q743" s="291" t="s">
        <v>4623</v>
      </c>
      <c r="R743" s="276"/>
      <c r="S743" s="277">
        <f>IF(OR(C743="",C743=T$4),NA(),MATCH($B743&amp;$C743,'Smelter Reference List'!$J:$J,0))</f>
        <v>222</v>
      </c>
      <c r="T743" s="278"/>
      <c r="U743" s="278"/>
      <c r="V743" s="278"/>
      <c r="W743" s="278"/>
    </row>
    <row r="744" spans="1:23" s="269" customFormat="1" ht="20.25">
      <c r="A744" s="267"/>
      <c r="B744" s="275" t="s">
        <v>2436</v>
      </c>
      <c r="C744" s="275" t="s">
        <v>3831</v>
      </c>
      <c r="D744" s="168" t="s">
        <v>1611</v>
      </c>
      <c r="E744" s="168" t="s">
        <v>1867</v>
      </c>
      <c r="F744" s="168" t="s">
        <v>4623</v>
      </c>
      <c r="G744" s="168" t="s">
        <v>4623</v>
      </c>
      <c r="H744" s="292" t="s">
        <v>4623</v>
      </c>
      <c r="I744" s="293" t="s">
        <v>4623</v>
      </c>
      <c r="J744" s="293" t="s">
        <v>4623</v>
      </c>
      <c r="K744" s="290" t="s">
        <v>4623</v>
      </c>
      <c r="L744" s="290" t="s">
        <v>4623</v>
      </c>
      <c r="M744" s="290" t="s">
        <v>4623</v>
      </c>
      <c r="N744" s="290" t="s">
        <v>4623</v>
      </c>
      <c r="O744" s="290" t="s">
        <v>4623</v>
      </c>
      <c r="P744" s="290" t="s">
        <v>999</v>
      </c>
      <c r="Q744" s="291" t="s">
        <v>4623</v>
      </c>
      <c r="R744" s="276"/>
      <c r="S744" s="277">
        <f>IF(OR(C744="",C744=T$4),NA(),MATCH($B744&amp;$C744,'Smelter Reference List'!$J:$J,0))</f>
        <v>222</v>
      </c>
      <c r="T744" s="278"/>
      <c r="U744" s="278"/>
      <c r="V744" s="278"/>
      <c r="W744" s="278"/>
    </row>
    <row r="745" spans="1:23" s="269" customFormat="1" ht="20.25">
      <c r="A745" s="267"/>
      <c r="B745" s="275" t="s">
        <v>2436</v>
      </c>
      <c r="C745" s="275" t="s">
        <v>3831</v>
      </c>
      <c r="D745" s="168" t="s">
        <v>5914</v>
      </c>
      <c r="E745" s="168" t="s">
        <v>1867</v>
      </c>
      <c r="F745" s="168" t="s">
        <v>4623</v>
      </c>
      <c r="G745" s="168" t="s">
        <v>4623</v>
      </c>
      <c r="H745" s="292" t="s">
        <v>4623</v>
      </c>
      <c r="I745" s="293" t="s">
        <v>4623</v>
      </c>
      <c r="J745" s="293" t="s">
        <v>4623</v>
      </c>
      <c r="K745" s="290" t="s">
        <v>4623</v>
      </c>
      <c r="L745" s="290" t="s">
        <v>4623</v>
      </c>
      <c r="M745" s="290" t="s">
        <v>4623</v>
      </c>
      <c r="N745" s="290" t="s">
        <v>4623</v>
      </c>
      <c r="O745" s="290" t="s">
        <v>4623</v>
      </c>
      <c r="P745" s="290" t="s">
        <v>999</v>
      </c>
      <c r="Q745" s="291" t="s">
        <v>4623</v>
      </c>
      <c r="R745" s="276"/>
      <c r="S745" s="277">
        <f>IF(OR(C745="",C745=T$4),NA(),MATCH($B745&amp;$C745,'Smelter Reference List'!$J:$J,0))</f>
        <v>222</v>
      </c>
      <c r="T745" s="278"/>
      <c r="U745" s="278"/>
      <c r="V745" s="278"/>
      <c r="W745" s="278"/>
    </row>
    <row r="746" spans="1:23" s="269" customFormat="1" ht="20.25">
      <c r="A746" s="267"/>
      <c r="B746" s="275" t="s">
        <v>2436</v>
      </c>
      <c r="C746" s="275" t="s">
        <v>3831</v>
      </c>
      <c r="D746" s="168" t="s">
        <v>5915</v>
      </c>
      <c r="E746" s="168" t="s">
        <v>1867</v>
      </c>
      <c r="F746" s="168" t="s">
        <v>4623</v>
      </c>
      <c r="G746" s="168" t="s">
        <v>4623</v>
      </c>
      <c r="H746" s="292" t="s">
        <v>4623</v>
      </c>
      <c r="I746" s="293" t="s">
        <v>4623</v>
      </c>
      <c r="J746" s="293" t="s">
        <v>4623</v>
      </c>
      <c r="K746" s="290" t="s">
        <v>4623</v>
      </c>
      <c r="L746" s="290" t="s">
        <v>4623</v>
      </c>
      <c r="M746" s="290" t="s">
        <v>4623</v>
      </c>
      <c r="N746" s="290" t="s">
        <v>4623</v>
      </c>
      <c r="O746" s="290" t="s">
        <v>4623</v>
      </c>
      <c r="P746" s="290" t="s">
        <v>999</v>
      </c>
      <c r="Q746" s="291" t="s">
        <v>4623</v>
      </c>
      <c r="R746" s="276"/>
      <c r="S746" s="277">
        <f>IF(OR(C746="",C746=T$4),NA(),MATCH($B746&amp;$C746,'Smelter Reference List'!$J:$J,0))</f>
        <v>222</v>
      </c>
      <c r="T746" s="278"/>
      <c r="U746" s="278"/>
      <c r="V746" s="278"/>
      <c r="W746" s="278"/>
    </row>
    <row r="747" spans="1:23" s="269" customFormat="1" ht="20.25">
      <c r="A747" s="267"/>
      <c r="B747" s="275" t="s">
        <v>2436</v>
      </c>
      <c r="C747" s="275" t="s">
        <v>3831</v>
      </c>
      <c r="D747" s="168" t="s">
        <v>5916</v>
      </c>
      <c r="E747" s="168" t="s">
        <v>1867</v>
      </c>
      <c r="F747" s="168" t="s">
        <v>4623</v>
      </c>
      <c r="G747" s="168" t="s">
        <v>4623</v>
      </c>
      <c r="H747" s="292" t="s">
        <v>4623</v>
      </c>
      <c r="I747" s="293" t="s">
        <v>4623</v>
      </c>
      <c r="J747" s="293" t="s">
        <v>4623</v>
      </c>
      <c r="K747" s="290" t="s">
        <v>4623</v>
      </c>
      <c r="L747" s="290" t="s">
        <v>5917</v>
      </c>
      <c r="M747" s="290" t="s">
        <v>4623</v>
      </c>
      <c r="N747" s="290" t="s">
        <v>4623</v>
      </c>
      <c r="O747" s="290" t="s">
        <v>4623</v>
      </c>
      <c r="P747" s="290" t="s">
        <v>999</v>
      </c>
      <c r="Q747" s="291" t="s">
        <v>4623</v>
      </c>
      <c r="R747" s="276"/>
      <c r="S747" s="277">
        <f>IF(OR(C747="",C747=T$4),NA(),MATCH($B747&amp;$C747,'Smelter Reference List'!$J:$J,0))</f>
        <v>222</v>
      </c>
      <c r="T747" s="278"/>
      <c r="U747" s="278"/>
      <c r="V747" s="278"/>
      <c r="W747" s="278"/>
    </row>
    <row r="748" spans="1:23" s="269" customFormat="1" ht="20.25">
      <c r="A748" s="267"/>
      <c r="B748" s="275" t="s">
        <v>2436</v>
      </c>
      <c r="C748" s="275" t="s">
        <v>3831</v>
      </c>
      <c r="D748" s="168" t="s">
        <v>2420</v>
      </c>
      <c r="E748" s="168" t="s">
        <v>1867</v>
      </c>
      <c r="F748" s="168" t="s">
        <v>4623</v>
      </c>
      <c r="G748" s="168" t="s">
        <v>4623</v>
      </c>
      <c r="H748" s="292" t="s">
        <v>5918</v>
      </c>
      <c r="I748" s="293" t="s">
        <v>3585</v>
      </c>
      <c r="J748" s="293" t="s">
        <v>5919</v>
      </c>
      <c r="K748" s="290" t="s">
        <v>4623</v>
      </c>
      <c r="L748" s="290" t="s">
        <v>5920</v>
      </c>
      <c r="M748" s="290" t="s">
        <v>4623</v>
      </c>
      <c r="N748" s="290" t="s">
        <v>4623</v>
      </c>
      <c r="O748" s="290" t="s">
        <v>4623</v>
      </c>
      <c r="P748" s="290" t="s">
        <v>999</v>
      </c>
      <c r="Q748" s="291" t="s">
        <v>4623</v>
      </c>
      <c r="R748" s="276"/>
      <c r="S748" s="277">
        <f>IF(OR(C748="",C748=T$4),NA(),MATCH($B748&amp;$C748,'Smelter Reference List'!$J:$J,0))</f>
        <v>222</v>
      </c>
      <c r="T748" s="278"/>
      <c r="U748" s="278"/>
      <c r="V748" s="278"/>
      <c r="W748" s="278"/>
    </row>
    <row r="749" spans="1:23" s="269" customFormat="1" ht="20.25">
      <c r="A749" s="267"/>
      <c r="B749" s="275" t="s">
        <v>2436</v>
      </c>
      <c r="C749" s="275" t="s">
        <v>3831</v>
      </c>
      <c r="D749" s="168" t="s">
        <v>5921</v>
      </c>
      <c r="E749" s="168" t="s">
        <v>1867</v>
      </c>
      <c r="F749" s="168" t="s">
        <v>4623</v>
      </c>
      <c r="G749" s="168" t="s">
        <v>4623</v>
      </c>
      <c r="H749" s="292" t="s">
        <v>4623</v>
      </c>
      <c r="I749" s="293" t="s">
        <v>4623</v>
      </c>
      <c r="J749" s="293" t="s">
        <v>4623</v>
      </c>
      <c r="K749" s="290" t="s">
        <v>4623</v>
      </c>
      <c r="L749" s="290" t="s">
        <v>4623</v>
      </c>
      <c r="M749" s="290" t="s">
        <v>4623</v>
      </c>
      <c r="N749" s="290" t="s">
        <v>4623</v>
      </c>
      <c r="O749" s="290" t="s">
        <v>4623</v>
      </c>
      <c r="P749" s="290" t="s">
        <v>999</v>
      </c>
      <c r="Q749" s="291" t="s">
        <v>4623</v>
      </c>
      <c r="R749" s="276"/>
      <c r="S749" s="277">
        <f>IF(OR(C749="",C749=T$4),NA(),MATCH($B749&amp;$C749,'Smelter Reference List'!$J:$J,0))</f>
        <v>222</v>
      </c>
      <c r="T749" s="278"/>
      <c r="U749" s="278"/>
      <c r="V749" s="278"/>
      <c r="W749" s="278"/>
    </row>
    <row r="750" spans="1:23" s="269" customFormat="1" ht="20.25">
      <c r="A750" s="267"/>
      <c r="B750" s="275" t="s">
        <v>2436</v>
      </c>
      <c r="C750" s="275" t="s">
        <v>3831</v>
      </c>
      <c r="D750" s="168" t="s">
        <v>5922</v>
      </c>
      <c r="E750" s="168" t="s">
        <v>1867</v>
      </c>
      <c r="F750" s="168" t="s">
        <v>4623</v>
      </c>
      <c r="G750" s="168" t="s">
        <v>4623</v>
      </c>
      <c r="H750" s="292" t="s">
        <v>5923</v>
      </c>
      <c r="I750" s="293" t="s">
        <v>5924</v>
      </c>
      <c r="J750" s="293" t="s">
        <v>5925</v>
      </c>
      <c r="K750" s="290" t="s">
        <v>4623</v>
      </c>
      <c r="L750" s="290" t="s">
        <v>5926</v>
      </c>
      <c r="M750" s="290" t="s">
        <v>4769</v>
      </c>
      <c r="N750" s="290" t="s">
        <v>5927</v>
      </c>
      <c r="O750" s="290" t="s">
        <v>5928</v>
      </c>
      <c r="P750" s="290" t="s">
        <v>999</v>
      </c>
      <c r="Q750" s="291" t="s">
        <v>4623</v>
      </c>
      <c r="R750" s="276"/>
      <c r="S750" s="277">
        <f>IF(OR(C750="",C750=T$4),NA(),MATCH($B750&amp;$C750,'Smelter Reference List'!$J:$J,0))</f>
        <v>222</v>
      </c>
      <c r="T750" s="278"/>
      <c r="U750" s="278"/>
      <c r="V750" s="278"/>
      <c r="W750" s="278"/>
    </row>
    <row r="751" spans="1:23" s="269" customFormat="1" ht="20.25">
      <c r="A751" s="267"/>
      <c r="B751" s="275" t="s">
        <v>2436</v>
      </c>
      <c r="C751" s="275" t="s">
        <v>3831</v>
      </c>
      <c r="D751" s="168" t="s">
        <v>5929</v>
      </c>
      <c r="E751" s="168" t="s">
        <v>1867</v>
      </c>
      <c r="F751" s="168" t="s">
        <v>4623</v>
      </c>
      <c r="G751" s="168" t="s">
        <v>4623</v>
      </c>
      <c r="H751" s="292" t="s">
        <v>4623</v>
      </c>
      <c r="I751" s="293" t="s">
        <v>4623</v>
      </c>
      <c r="J751" s="293" t="s">
        <v>4623</v>
      </c>
      <c r="K751" s="290" t="s">
        <v>4623</v>
      </c>
      <c r="L751" s="290" t="s">
        <v>4623</v>
      </c>
      <c r="M751" s="290" t="s">
        <v>4623</v>
      </c>
      <c r="N751" s="290" t="s">
        <v>4623</v>
      </c>
      <c r="O751" s="290" t="s">
        <v>4623</v>
      </c>
      <c r="P751" s="290" t="s">
        <v>999</v>
      </c>
      <c r="Q751" s="291" t="s">
        <v>4623</v>
      </c>
      <c r="R751" s="276"/>
      <c r="S751" s="277">
        <f>IF(OR(C751="",C751=T$4),NA(),MATCH($B751&amp;$C751,'Smelter Reference List'!$J:$J,0))</f>
        <v>222</v>
      </c>
      <c r="T751" s="278"/>
      <c r="U751" s="278"/>
      <c r="V751" s="278"/>
      <c r="W751" s="278"/>
    </row>
    <row r="752" spans="1:23" s="269" customFormat="1" ht="20.25">
      <c r="A752" s="267"/>
      <c r="B752" s="275" t="s">
        <v>2436</v>
      </c>
      <c r="C752" s="275" t="s">
        <v>3831</v>
      </c>
      <c r="D752" s="168" t="s">
        <v>5930</v>
      </c>
      <c r="E752" s="168" t="s">
        <v>1867</v>
      </c>
      <c r="F752" s="168" t="s">
        <v>4623</v>
      </c>
      <c r="G752" s="168" t="s">
        <v>4623</v>
      </c>
      <c r="H752" s="292" t="s">
        <v>4623</v>
      </c>
      <c r="I752" s="293" t="s">
        <v>4623</v>
      </c>
      <c r="J752" s="293" t="s">
        <v>4623</v>
      </c>
      <c r="K752" s="290" t="s">
        <v>4623</v>
      </c>
      <c r="L752" s="290" t="s">
        <v>4623</v>
      </c>
      <c r="M752" s="290" t="s">
        <v>4623</v>
      </c>
      <c r="N752" s="290" t="s">
        <v>4623</v>
      </c>
      <c r="O752" s="290" t="s">
        <v>4623</v>
      </c>
      <c r="P752" s="290" t="s">
        <v>999</v>
      </c>
      <c r="Q752" s="291" t="s">
        <v>4623</v>
      </c>
      <c r="R752" s="276"/>
      <c r="S752" s="277">
        <f>IF(OR(C752="",C752=T$4),NA(),MATCH($B752&amp;$C752,'Smelter Reference List'!$J:$J,0))</f>
        <v>222</v>
      </c>
      <c r="T752" s="278"/>
      <c r="U752" s="278"/>
      <c r="V752" s="278"/>
      <c r="W752" s="278"/>
    </row>
    <row r="753" spans="1:23" s="269" customFormat="1" ht="20.25">
      <c r="A753" s="267"/>
      <c r="B753" s="275" t="s">
        <v>2436</v>
      </c>
      <c r="C753" s="275" t="s">
        <v>3831</v>
      </c>
      <c r="D753" s="168" t="s">
        <v>5931</v>
      </c>
      <c r="E753" s="168" t="s">
        <v>1867</v>
      </c>
      <c r="F753" s="168" t="s">
        <v>4623</v>
      </c>
      <c r="G753" s="168" t="s">
        <v>4623</v>
      </c>
      <c r="H753" s="292" t="s">
        <v>4623</v>
      </c>
      <c r="I753" s="293" t="s">
        <v>5932</v>
      </c>
      <c r="J753" s="293" t="s">
        <v>5933</v>
      </c>
      <c r="K753" s="290" t="s">
        <v>4623</v>
      </c>
      <c r="L753" s="290" t="s">
        <v>4623</v>
      </c>
      <c r="M753" s="290" t="s">
        <v>4623</v>
      </c>
      <c r="N753" s="290" t="s">
        <v>4623</v>
      </c>
      <c r="O753" s="290" t="s">
        <v>4623</v>
      </c>
      <c r="P753" s="290" t="s">
        <v>999</v>
      </c>
      <c r="Q753" s="291" t="s">
        <v>4623</v>
      </c>
      <c r="R753" s="276"/>
      <c r="S753" s="277">
        <f>IF(OR(C753="",C753=T$4),NA(),MATCH($B753&amp;$C753,'Smelter Reference List'!$J:$J,0))</f>
        <v>222</v>
      </c>
      <c r="T753" s="278"/>
      <c r="U753" s="278"/>
      <c r="V753" s="278"/>
      <c r="W753" s="278"/>
    </row>
    <row r="754" spans="1:23" s="269" customFormat="1" ht="20.25">
      <c r="A754" s="267"/>
      <c r="B754" s="275" t="s">
        <v>2436</v>
      </c>
      <c r="C754" s="275" t="s">
        <v>3831</v>
      </c>
      <c r="D754" s="168" t="s">
        <v>4693</v>
      </c>
      <c r="E754" s="168" t="s">
        <v>1867</v>
      </c>
      <c r="F754" s="168" t="s">
        <v>4623</v>
      </c>
      <c r="G754" s="168" t="s">
        <v>4623</v>
      </c>
      <c r="H754" s="292" t="s">
        <v>5934</v>
      </c>
      <c r="I754" s="293" t="s">
        <v>5932</v>
      </c>
      <c r="J754" s="293" t="s">
        <v>5933</v>
      </c>
      <c r="K754" s="290" t="s">
        <v>5935</v>
      </c>
      <c r="L754" s="290" t="s">
        <v>4623</v>
      </c>
      <c r="M754" s="290" t="s">
        <v>4623</v>
      </c>
      <c r="N754" s="290" t="s">
        <v>4628</v>
      </c>
      <c r="O754" s="290" t="s">
        <v>4628</v>
      </c>
      <c r="P754" s="290" t="s">
        <v>999</v>
      </c>
      <c r="Q754" s="291" t="s">
        <v>4623</v>
      </c>
      <c r="R754" s="276"/>
      <c r="S754" s="277">
        <f>IF(OR(C754="",C754=T$4),NA(),MATCH($B754&amp;$C754,'Smelter Reference List'!$J:$J,0))</f>
        <v>222</v>
      </c>
      <c r="T754" s="278"/>
      <c r="U754" s="278"/>
      <c r="V754" s="278"/>
      <c r="W754" s="278"/>
    </row>
    <row r="755" spans="1:23" s="269" customFormat="1" ht="20.25">
      <c r="A755" s="267"/>
      <c r="B755" s="275" t="s">
        <v>2436</v>
      </c>
      <c r="C755" s="275" t="s">
        <v>3831</v>
      </c>
      <c r="D755" s="168" t="s">
        <v>2423</v>
      </c>
      <c r="E755" s="168" t="s">
        <v>1867</v>
      </c>
      <c r="F755" s="168" t="s">
        <v>4623</v>
      </c>
      <c r="G755" s="168" t="s">
        <v>4623</v>
      </c>
      <c r="H755" s="292" t="s">
        <v>4623</v>
      </c>
      <c r="I755" s="293" t="s">
        <v>4623</v>
      </c>
      <c r="J755" s="293" t="s">
        <v>4623</v>
      </c>
      <c r="K755" s="290" t="s">
        <v>4623</v>
      </c>
      <c r="L755" s="290" t="s">
        <v>4623</v>
      </c>
      <c r="M755" s="290" t="s">
        <v>4623</v>
      </c>
      <c r="N755" s="290" t="s">
        <v>4623</v>
      </c>
      <c r="O755" s="290" t="s">
        <v>4623</v>
      </c>
      <c r="P755" s="290" t="s">
        <v>999</v>
      </c>
      <c r="Q755" s="291" t="s">
        <v>4623</v>
      </c>
      <c r="R755" s="276"/>
      <c r="S755" s="277">
        <f>IF(OR(C755="",C755=T$4),NA(),MATCH($B755&amp;$C755,'Smelter Reference List'!$J:$J,0))</f>
        <v>222</v>
      </c>
      <c r="T755" s="278"/>
      <c r="U755" s="278"/>
      <c r="V755" s="278"/>
      <c r="W755" s="278"/>
    </row>
    <row r="756" spans="1:23" s="269" customFormat="1" ht="20.25">
      <c r="A756" s="267"/>
      <c r="B756" s="275" t="s">
        <v>2436</v>
      </c>
      <c r="C756" s="275" t="s">
        <v>3831</v>
      </c>
      <c r="D756" s="168" t="s">
        <v>5936</v>
      </c>
      <c r="E756" s="168" t="s">
        <v>1867</v>
      </c>
      <c r="F756" s="168" t="s">
        <v>4623</v>
      </c>
      <c r="G756" s="168" t="s">
        <v>4623</v>
      </c>
      <c r="H756" s="292" t="s">
        <v>5937</v>
      </c>
      <c r="I756" s="293" t="s">
        <v>5938</v>
      </c>
      <c r="J756" s="293" t="s">
        <v>5939</v>
      </c>
      <c r="K756" s="290" t="s">
        <v>4623</v>
      </c>
      <c r="L756" s="290" t="s">
        <v>5940</v>
      </c>
      <c r="M756" s="290" t="s">
        <v>4623</v>
      </c>
      <c r="N756" s="290" t="s">
        <v>4678</v>
      </c>
      <c r="O756" s="290" t="s">
        <v>4678</v>
      </c>
      <c r="P756" s="290" t="s">
        <v>999</v>
      </c>
      <c r="Q756" s="291" t="s">
        <v>4623</v>
      </c>
      <c r="R756" s="276"/>
      <c r="S756" s="277">
        <f>IF(OR(C756="",C756=T$4),NA(),MATCH($B756&amp;$C756,'Smelter Reference List'!$J:$J,0))</f>
        <v>222</v>
      </c>
      <c r="T756" s="278"/>
      <c r="U756" s="278"/>
      <c r="V756" s="278"/>
      <c r="W756" s="278"/>
    </row>
    <row r="757" spans="1:23" s="269" customFormat="1" ht="20.25">
      <c r="A757" s="267"/>
      <c r="B757" s="275" t="s">
        <v>2436</v>
      </c>
      <c r="C757" s="275" t="s">
        <v>3831</v>
      </c>
      <c r="D757" s="168" t="s">
        <v>230</v>
      </c>
      <c r="E757" s="168" t="s">
        <v>1867</v>
      </c>
      <c r="F757" s="168" t="s">
        <v>4623</v>
      </c>
      <c r="G757" s="168" t="s">
        <v>4623</v>
      </c>
      <c r="H757" s="292" t="s">
        <v>4623</v>
      </c>
      <c r="I757" s="293" t="s">
        <v>4623</v>
      </c>
      <c r="J757" s="293" t="s">
        <v>4623</v>
      </c>
      <c r="K757" s="290" t="s">
        <v>4623</v>
      </c>
      <c r="L757" s="290" t="s">
        <v>4623</v>
      </c>
      <c r="M757" s="290" t="s">
        <v>4623</v>
      </c>
      <c r="N757" s="290" t="s">
        <v>4623</v>
      </c>
      <c r="O757" s="290" t="s">
        <v>4623</v>
      </c>
      <c r="P757" s="290" t="s">
        <v>999</v>
      </c>
      <c r="Q757" s="291" t="s">
        <v>4623</v>
      </c>
      <c r="R757" s="276"/>
      <c r="S757" s="277">
        <f>IF(OR(C757="",C757=T$4),NA(),MATCH($B757&amp;$C757,'Smelter Reference List'!$J:$J,0))</f>
        <v>222</v>
      </c>
      <c r="T757" s="278"/>
      <c r="U757" s="278"/>
      <c r="V757" s="278"/>
      <c r="W757" s="278"/>
    </row>
    <row r="758" spans="1:23" s="269" customFormat="1" ht="20.25">
      <c r="A758" s="267"/>
      <c r="B758" s="275" t="s">
        <v>2436</v>
      </c>
      <c r="C758" s="275" t="s">
        <v>3831</v>
      </c>
      <c r="D758" s="168" t="s">
        <v>5941</v>
      </c>
      <c r="E758" s="168" t="s">
        <v>1867</v>
      </c>
      <c r="F758" s="168" t="s">
        <v>4623</v>
      </c>
      <c r="G758" s="168" t="s">
        <v>4623</v>
      </c>
      <c r="H758" s="292" t="s">
        <v>4623</v>
      </c>
      <c r="I758" s="293" t="s">
        <v>4623</v>
      </c>
      <c r="J758" s="293" t="s">
        <v>4623</v>
      </c>
      <c r="K758" s="290" t="s">
        <v>4623</v>
      </c>
      <c r="L758" s="290" t="s">
        <v>4623</v>
      </c>
      <c r="M758" s="290" t="s">
        <v>4623</v>
      </c>
      <c r="N758" s="290" t="s">
        <v>4623</v>
      </c>
      <c r="O758" s="290" t="s">
        <v>4623</v>
      </c>
      <c r="P758" s="290" t="s">
        <v>999</v>
      </c>
      <c r="Q758" s="291" t="s">
        <v>4623</v>
      </c>
      <c r="R758" s="276"/>
      <c r="S758" s="277">
        <f>IF(OR(C758="",C758=T$4),NA(),MATCH($B758&amp;$C758,'Smelter Reference List'!$J:$J,0))</f>
        <v>222</v>
      </c>
      <c r="T758" s="278"/>
      <c r="U758" s="278"/>
      <c r="V758" s="278"/>
      <c r="W758" s="278"/>
    </row>
    <row r="759" spans="1:23" s="269" customFormat="1" ht="20.25">
      <c r="A759" s="267"/>
      <c r="B759" s="275" t="s">
        <v>2436</v>
      </c>
      <c r="C759" s="275" t="s">
        <v>3831</v>
      </c>
      <c r="D759" s="168" t="s">
        <v>5942</v>
      </c>
      <c r="E759" s="168" t="s">
        <v>1867</v>
      </c>
      <c r="F759" s="168" t="s">
        <v>4623</v>
      </c>
      <c r="G759" s="168" t="s">
        <v>4623</v>
      </c>
      <c r="H759" s="292" t="s">
        <v>4623</v>
      </c>
      <c r="I759" s="293" t="s">
        <v>4623</v>
      </c>
      <c r="J759" s="293" t="s">
        <v>4623</v>
      </c>
      <c r="K759" s="290" t="s">
        <v>4623</v>
      </c>
      <c r="L759" s="290" t="s">
        <v>4623</v>
      </c>
      <c r="M759" s="290" t="s">
        <v>4623</v>
      </c>
      <c r="N759" s="290" t="s">
        <v>4623</v>
      </c>
      <c r="O759" s="290" t="s">
        <v>4623</v>
      </c>
      <c r="P759" s="290" t="s">
        <v>999</v>
      </c>
      <c r="Q759" s="291" t="s">
        <v>4623</v>
      </c>
      <c r="R759" s="276"/>
      <c r="S759" s="277">
        <f>IF(OR(C759="",C759=T$4),NA(),MATCH($B759&amp;$C759,'Smelter Reference List'!$J:$J,0))</f>
        <v>222</v>
      </c>
      <c r="T759" s="278"/>
      <c r="U759" s="278"/>
      <c r="V759" s="278"/>
      <c r="W759" s="278"/>
    </row>
    <row r="760" spans="1:23" s="269" customFormat="1" ht="20.25">
      <c r="A760" s="267"/>
      <c r="B760" s="275" t="s">
        <v>2436</v>
      </c>
      <c r="C760" s="275" t="s">
        <v>3831</v>
      </c>
      <c r="D760" s="168" t="s">
        <v>5943</v>
      </c>
      <c r="E760" s="168" t="s">
        <v>1867</v>
      </c>
      <c r="F760" s="168" t="s">
        <v>4623</v>
      </c>
      <c r="G760" s="168" t="s">
        <v>4623</v>
      </c>
      <c r="H760" s="292" t="s">
        <v>5944</v>
      </c>
      <c r="I760" s="293" t="s">
        <v>3700</v>
      </c>
      <c r="J760" s="293" t="s">
        <v>5945</v>
      </c>
      <c r="K760" s="290" t="s">
        <v>5946</v>
      </c>
      <c r="L760" s="290" t="s">
        <v>5947</v>
      </c>
      <c r="M760" s="290" t="s">
        <v>4623</v>
      </c>
      <c r="N760" s="290" t="s">
        <v>4623</v>
      </c>
      <c r="O760" s="290" t="s">
        <v>4623</v>
      </c>
      <c r="P760" s="290" t="s">
        <v>999</v>
      </c>
      <c r="Q760" s="291" t="s">
        <v>4623</v>
      </c>
      <c r="R760" s="276"/>
      <c r="S760" s="277">
        <f>IF(OR(C760="",C760=T$4),NA(),MATCH($B760&amp;$C760,'Smelter Reference List'!$J:$J,0))</f>
        <v>222</v>
      </c>
      <c r="T760" s="278"/>
      <c r="U760" s="278"/>
      <c r="V760" s="278"/>
      <c r="W760" s="278"/>
    </row>
    <row r="761" spans="1:23" s="269" customFormat="1" ht="20.25">
      <c r="A761" s="267"/>
      <c r="B761" s="275" t="s">
        <v>2436</v>
      </c>
      <c r="C761" s="275" t="s">
        <v>3831</v>
      </c>
      <c r="D761" s="168" t="s">
        <v>5948</v>
      </c>
      <c r="E761" s="168" t="s">
        <v>1867</v>
      </c>
      <c r="F761" s="168" t="s">
        <v>4623</v>
      </c>
      <c r="G761" s="168" t="s">
        <v>4623</v>
      </c>
      <c r="H761" s="292" t="s">
        <v>5949</v>
      </c>
      <c r="I761" s="293" t="s">
        <v>3449</v>
      </c>
      <c r="J761" s="293" t="s">
        <v>4623</v>
      </c>
      <c r="K761" s="290" t="s">
        <v>4623</v>
      </c>
      <c r="L761" s="290" t="s">
        <v>4623</v>
      </c>
      <c r="M761" s="290" t="s">
        <v>5950</v>
      </c>
      <c r="N761" s="290" t="s">
        <v>5950</v>
      </c>
      <c r="O761" s="290" t="s">
        <v>4623</v>
      </c>
      <c r="P761" s="290" t="s">
        <v>999</v>
      </c>
      <c r="Q761" s="291" t="s">
        <v>4623</v>
      </c>
      <c r="R761" s="276"/>
      <c r="S761" s="277">
        <f>IF(OR(C761="",C761=T$4),NA(),MATCH($B761&amp;$C761,'Smelter Reference List'!$J:$J,0))</f>
        <v>222</v>
      </c>
      <c r="T761" s="278"/>
      <c r="U761" s="278"/>
      <c r="V761" s="278"/>
      <c r="W761" s="278"/>
    </row>
    <row r="762" spans="1:23" s="269" customFormat="1" ht="20.25">
      <c r="A762" s="267"/>
      <c r="B762" s="275" t="s">
        <v>2436</v>
      </c>
      <c r="C762" s="275" t="s">
        <v>3831</v>
      </c>
      <c r="D762" s="168" t="s">
        <v>5951</v>
      </c>
      <c r="E762" s="168" t="s">
        <v>1867</v>
      </c>
      <c r="F762" s="168" t="s">
        <v>4623</v>
      </c>
      <c r="G762" s="168" t="s">
        <v>4623</v>
      </c>
      <c r="H762" s="292" t="s">
        <v>4623</v>
      </c>
      <c r="I762" s="293" t="s">
        <v>4623</v>
      </c>
      <c r="J762" s="293" t="s">
        <v>4623</v>
      </c>
      <c r="K762" s="290" t="s">
        <v>4623</v>
      </c>
      <c r="L762" s="290" t="s">
        <v>4623</v>
      </c>
      <c r="M762" s="290" t="s">
        <v>4623</v>
      </c>
      <c r="N762" s="290" t="s">
        <v>4623</v>
      </c>
      <c r="O762" s="290" t="s">
        <v>4671</v>
      </c>
      <c r="P762" s="290" t="s">
        <v>999</v>
      </c>
      <c r="Q762" s="291" t="s">
        <v>4623</v>
      </c>
      <c r="R762" s="276"/>
      <c r="S762" s="277">
        <f>IF(OR(C762="",C762=T$4),NA(),MATCH($B762&amp;$C762,'Smelter Reference List'!$J:$J,0))</f>
        <v>222</v>
      </c>
      <c r="T762" s="278"/>
      <c r="U762" s="278"/>
      <c r="V762" s="278"/>
      <c r="W762" s="278"/>
    </row>
    <row r="763" spans="1:23" s="269" customFormat="1" ht="20.25">
      <c r="A763" s="267"/>
      <c r="B763" s="275" t="s">
        <v>2436</v>
      </c>
      <c r="C763" s="275" t="s">
        <v>3831</v>
      </c>
      <c r="D763" s="168" t="s">
        <v>5952</v>
      </c>
      <c r="E763" s="168" t="s">
        <v>1867</v>
      </c>
      <c r="F763" s="168" t="s">
        <v>4623</v>
      </c>
      <c r="G763" s="168" t="s">
        <v>4623</v>
      </c>
      <c r="H763" s="292" t="s">
        <v>4623</v>
      </c>
      <c r="I763" s="293" t="s">
        <v>5953</v>
      </c>
      <c r="J763" s="293" t="s">
        <v>4623</v>
      </c>
      <c r="K763" s="290" t="s">
        <v>4623</v>
      </c>
      <c r="L763" s="290" t="s">
        <v>4623</v>
      </c>
      <c r="M763" s="290" t="s">
        <v>4623</v>
      </c>
      <c r="N763" s="290" t="s">
        <v>4623</v>
      </c>
      <c r="O763" s="290" t="s">
        <v>4623</v>
      </c>
      <c r="P763" s="290" t="s">
        <v>999</v>
      </c>
      <c r="Q763" s="291" t="s">
        <v>4623</v>
      </c>
      <c r="R763" s="276"/>
      <c r="S763" s="277">
        <f>IF(OR(C763="",C763=T$4),NA(),MATCH($B763&amp;$C763,'Smelter Reference List'!$J:$J,0))</f>
        <v>222</v>
      </c>
      <c r="T763" s="278"/>
      <c r="U763" s="278"/>
      <c r="V763" s="278"/>
      <c r="W763" s="278"/>
    </row>
    <row r="764" spans="1:23" s="269" customFormat="1" ht="20.25">
      <c r="A764" s="267"/>
      <c r="B764" s="275" t="s">
        <v>2436</v>
      </c>
      <c r="C764" s="275" t="s">
        <v>3831</v>
      </c>
      <c r="D764" s="168" t="s">
        <v>5954</v>
      </c>
      <c r="E764" s="168" t="s">
        <v>1867</v>
      </c>
      <c r="F764" s="168" t="s">
        <v>4623</v>
      </c>
      <c r="G764" s="168" t="s">
        <v>4623</v>
      </c>
      <c r="H764" s="292" t="s">
        <v>5955</v>
      </c>
      <c r="I764" s="293" t="s">
        <v>3463</v>
      </c>
      <c r="J764" s="293" t="s">
        <v>3464</v>
      </c>
      <c r="K764" s="290" t="s">
        <v>4623</v>
      </c>
      <c r="L764" s="290" t="s">
        <v>4623</v>
      </c>
      <c r="M764" s="290" t="s">
        <v>4623</v>
      </c>
      <c r="N764" s="290" t="s">
        <v>4623</v>
      </c>
      <c r="O764" s="290" t="s">
        <v>4623</v>
      </c>
      <c r="P764" s="290" t="s">
        <v>999</v>
      </c>
      <c r="Q764" s="291" t="s">
        <v>4623</v>
      </c>
      <c r="R764" s="276"/>
      <c r="S764" s="277">
        <f>IF(OR(C764="",C764=T$4),NA(),MATCH($B764&amp;$C764,'Smelter Reference List'!$J:$J,0))</f>
        <v>222</v>
      </c>
      <c r="T764" s="278"/>
      <c r="U764" s="278"/>
      <c r="V764" s="278"/>
      <c r="W764" s="278"/>
    </row>
    <row r="765" spans="1:23" s="269" customFormat="1" ht="20.25">
      <c r="A765" s="267"/>
      <c r="B765" s="275" t="s">
        <v>2436</v>
      </c>
      <c r="C765" s="275" t="s">
        <v>3831</v>
      </c>
      <c r="D765" s="168" t="s">
        <v>5956</v>
      </c>
      <c r="E765" s="168" t="s">
        <v>1867</v>
      </c>
      <c r="F765" s="168" t="s">
        <v>4623</v>
      </c>
      <c r="G765" s="168" t="s">
        <v>4623</v>
      </c>
      <c r="H765" s="292" t="s">
        <v>4623</v>
      </c>
      <c r="I765" s="293" t="s">
        <v>4623</v>
      </c>
      <c r="J765" s="293" t="s">
        <v>4623</v>
      </c>
      <c r="K765" s="290" t="s">
        <v>4623</v>
      </c>
      <c r="L765" s="290" t="s">
        <v>4623</v>
      </c>
      <c r="M765" s="290" t="s">
        <v>4623</v>
      </c>
      <c r="N765" s="290" t="s">
        <v>4623</v>
      </c>
      <c r="O765" s="290" t="s">
        <v>4623</v>
      </c>
      <c r="P765" s="290" t="s">
        <v>999</v>
      </c>
      <c r="Q765" s="291" t="s">
        <v>4623</v>
      </c>
      <c r="R765" s="276"/>
      <c r="S765" s="277">
        <f>IF(OR(C765="",C765=T$4),NA(),MATCH($B765&amp;$C765,'Smelter Reference List'!$J:$J,0))</f>
        <v>222</v>
      </c>
      <c r="T765" s="278"/>
      <c r="U765" s="278"/>
      <c r="V765" s="278"/>
      <c r="W765" s="278"/>
    </row>
    <row r="766" spans="1:23" s="269" customFormat="1" ht="20.25">
      <c r="A766" s="267"/>
      <c r="B766" s="275" t="s">
        <v>2436</v>
      </c>
      <c r="C766" s="275" t="s">
        <v>3831</v>
      </c>
      <c r="D766" s="168" t="s">
        <v>5957</v>
      </c>
      <c r="E766" s="168" t="s">
        <v>1867</v>
      </c>
      <c r="F766" s="168" t="s">
        <v>4623</v>
      </c>
      <c r="G766" s="168" t="s">
        <v>4623</v>
      </c>
      <c r="H766" s="292" t="s">
        <v>5958</v>
      </c>
      <c r="I766" s="293" t="s">
        <v>5959</v>
      </c>
      <c r="J766" s="293" t="s">
        <v>5960</v>
      </c>
      <c r="K766" s="290" t="s">
        <v>5961</v>
      </c>
      <c r="L766" s="290" t="s">
        <v>5962</v>
      </c>
      <c r="M766" s="290" t="s">
        <v>4623</v>
      </c>
      <c r="N766" s="290" t="s">
        <v>4623</v>
      </c>
      <c r="O766" s="290" t="s">
        <v>4623</v>
      </c>
      <c r="P766" s="290" t="s">
        <v>999</v>
      </c>
      <c r="Q766" s="291" t="s">
        <v>4623</v>
      </c>
      <c r="R766" s="276"/>
      <c r="S766" s="277">
        <f>IF(OR(C766="",C766=T$4),NA(),MATCH($B766&amp;$C766,'Smelter Reference List'!$J:$J,0))</f>
        <v>222</v>
      </c>
      <c r="T766" s="278"/>
      <c r="U766" s="278"/>
      <c r="V766" s="278"/>
      <c r="W766" s="278"/>
    </row>
    <row r="767" spans="1:23" s="269" customFormat="1" ht="20.25">
      <c r="A767" s="267"/>
      <c r="B767" s="275" t="s">
        <v>2436</v>
      </c>
      <c r="C767" s="275" t="s">
        <v>3831</v>
      </c>
      <c r="D767" s="168" t="s">
        <v>5963</v>
      </c>
      <c r="E767" s="168" t="s">
        <v>1867</v>
      </c>
      <c r="F767" s="168" t="s">
        <v>4623</v>
      </c>
      <c r="G767" s="168" t="s">
        <v>4623</v>
      </c>
      <c r="H767" s="292" t="s">
        <v>4623</v>
      </c>
      <c r="I767" s="293" t="s">
        <v>4623</v>
      </c>
      <c r="J767" s="293" t="s">
        <v>4623</v>
      </c>
      <c r="K767" s="290" t="s">
        <v>4623</v>
      </c>
      <c r="L767" s="290" t="s">
        <v>4623</v>
      </c>
      <c r="M767" s="290" t="s">
        <v>4623</v>
      </c>
      <c r="N767" s="290" t="s">
        <v>4623</v>
      </c>
      <c r="O767" s="290" t="s">
        <v>4623</v>
      </c>
      <c r="P767" s="290" t="s">
        <v>999</v>
      </c>
      <c r="Q767" s="291" t="s">
        <v>4623</v>
      </c>
      <c r="R767" s="276"/>
      <c r="S767" s="277">
        <f>IF(OR(C767="",C767=T$4),NA(),MATCH($B767&amp;$C767,'Smelter Reference List'!$J:$J,0))</f>
        <v>222</v>
      </c>
      <c r="T767" s="278"/>
      <c r="U767" s="278"/>
      <c r="V767" s="278"/>
      <c r="W767" s="278"/>
    </row>
    <row r="768" spans="1:23" s="269" customFormat="1" ht="20.25">
      <c r="A768" s="267"/>
      <c r="B768" s="275" t="s">
        <v>2436</v>
      </c>
      <c r="C768" s="275" t="s">
        <v>3831</v>
      </c>
      <c r="D768" s="168" t="s">
        <v>5964</v>
      </c>
      <c r="E768" s="168" t="s">
        <v>1867</v>
      </c>
      <c r="F768" s="168" t="s">
        <v>4623</v>
      </c>
      <c r="G768" s="168" t="s">
        <v>4623</v>
      </c>
      <c r="H768" s="292" t="s">
        <v>4623</v>
      </c>
      <c r="I768" s="293" t="s">
        <v>4623</v>
      </c>
      <c r="J768" s="293" t="s">
        <v>4623</v>
      </c>
      <c r="K768" s="290" t="s">
        <v>4623</v>
      </c>
      <c r="L768" s="290" t="s">
        <v>4623</v>
      </c>
      <c r="M768" s="290" t="s">
        <v>4623</v>
      </c>
      <c r="N768" s="290" t="s">
        <v>4623</v>
      </c>
      <c r="O768" s="290" t="s">
        <v>4623</v>
      </c>
      <c r="P768" s="290" t="s">
        <v>999</v>
      </c>
      <c r="Q768" s="291" t="s">
        <v>4623</v>
      </c>
      <c r="R768" s="276"/>
      <c r="S768" s="277">
        <f>IF(OR(C768="",C768=T$4),NA(),MATCH($B768&amp;$C768,'Smelter Reference List'!$J:$J,0))</f>
        <v>222</v>
      </c>
      <c r="T768" s="278"/>
      <c r="U768" s="278"/>
      <c r="V768" s="278"/>
      <c r="W768" s="278"/>
    </row>
    <row r="769" spans="1:23" s="269" customFormat="1" ht="20.25">
      <c r="A769" s="267"/>
      <c r="B769" s="275" t="s">
        <v>2436</v>
      </c>
      <c r="C769" s="275" t="s">
        <v>3831</v>
      </c>
      <c r="D769" s="168" t="s">
        <v>5965</v>
      </c>
      <c r="E769" s="168" t="s">
        <v>1867</v>
      </c>
      <c r="F769" s="168" t="s">
        <v>4623</v>
      </c>
      <c r="G769" s="168" t="s">
        <v>4623</v>
      </c>
      <c r="H769" s="292" t="s">
        <v>4623</v>
      </c>
      <c r="I769" s="293" t="s">
        <v>4623</v>
      </c>
      <c r="J769" s="293" t="s">
        <v>4623</v>
      </c>
      <c r="K769" s="290" t="s">
        <v>4623</v>
      </c>
      <c r="L769" s="290" t="s">
        <v>4623</v>
      </c>
      <c r="M769" s="290" t="s">
        <v>4623</v>
      </c>
      <c r="N769" s="290" t="s">
        <v>4623</v>
      </c>
      <c r="O769" s="290" t="s">
        <v>4623</v>
      </c>
      <c r="P769" s="290" t="s">
        <v>999</v>
      </c>
      <c r="Q769" s="291" t="s">
        <v>4623</v>
      </c>
      <c r="R769" s="276"/>
      <c r="S769" s="277">
        <f>IF(OR(C769="",C769=T$4),NA(),MATCH($B769&amp;$C769,'Smelter Reference List'!$J:$J,0))</f>
        <v>222</v>
      </c>
      <c r="T769" s="278"/>
      <c r="U769" s="278"/>
      <c r="V769" s="278"/>
      <c r="W769" s="278"/>
    </row>
    <row r="770" spans="1:23" s="269" customFormat="1" ht="20.25">
      <c r="A770" s="267"/>
      <c r="B770" s="275" t="s">
        <v>2436</v>
      </c>
      <c r="C770" s="275" t="s">
        <v>3831</v>
      </c>
      <c r="D770" s="168" t="s">
        <v>5966</v>
      </c>
      <c r="E770" s="168" t="s">
        <v>1867</v>
      </c>
      <c r="F770" s="168" t="s">
        <v>4623</v>
      </c>
      <c r="G770" s="168" t="s">
        <v>4623</v>
      </c>
      <c r="H770" s="292" t="s">
        <v>4623</v>
      </c>
      <c r="I770" s="293" t="s">
        <v>4623</v>
      </c>
      <c r="J770" s="293" t="s">
        <v>4623</v>
      </c>
      <c r="K770" s="290" t="s">
        <v>4623</v>
      </c>
      <c r="L770" s="290" t="s">
        <v>4623</v>
      </c>
      <c r="M770" s="290" t="s">
        <v>4623</v>
      </c>
      <c r="N770" s="290" t="s">
        <v>4623</v>
      </c>
      <c r="O770" s="290" t="s">
        <v>4623</v>
      </c>
      <c r="P770" s="290" t="s">
        <v>999</v>
      </c>
      <c r="Q770" s="291" t="s">
        <v>4623</v>
      </c>
      <c r="R770" s="276"/>
      <c r="S770" s="277">
        <f>IF(OR(C770="",C770=T$4),NA(),MATCH($B770&amp;$C770,'Smelter Reference List'!$J:$J,0))</f>
        <v>222</v>
      </c>
      <c r="T770" s="278"/>
      <c r="U770" s="278"/>
      <c r="V770" s="278"/>
      <c r="W770" s="278"/>
    </row>
    <row r="771" spans="1:23" s="269" customFormat="1" ht="20.25">
      <c r="A771" s="267"/>
      <c r="B771" s="275" t="s">
        <v>2436</v>
      </c>
      <c r="C771" s="275" t="s">
        <v>3831</v>
      </c>
      <c r="D771" s="168" t="s">
        <v>5287</v>
      </c>
      <c r="E771" s="168" t="s">
        <v>1867</v>
      </c>
      <c r="F771" s="168" t="s">
        <v>4623</v>
      </c>
      <c r="G771" s="168" t="s">
        <v>4623</v>
      </c>
      <c r="H771" s="292" t="s">
        <v>4623</v>
      </c>
      <c r="I771" s="293" t="s">
        <v>4623</v>
      </c>
      <c r="J771" s="293" t="s">
        <v>4623</v>
      </c>
      <c r="K771" s="290" t="s">
        <v>4623</v>
      </c>
      <c r="L771" s="290" t="s">
        <v>4623</v>
      </c>
      <c r="M771" s="290" t="s">
        <v>4623</v>
      </c>
      <c r="N771" s="290" t="s">
        <v>4623</v>
      </c>
      <c r="O771" s="290" t="s">
        <v>4623</v>
      </c>
      <c r="P771" s="290" t="s">
        <v>999</v>
      </c>
      <c r="Q771" s="291" t="s">
        <v>4623</v>
      </c>
      <c r="R771" s="276"/>
      <c r="S771" s="277">
        <f>IF(OR(C771="",C771=T$4),NA(),MATCH($B771&amp;$C771,'Smelter Reference List'!$J:$J,0))</f>
        <v>222</v>
      </c>
      <c r="T771" s="278"/>
      <c r="U771" s="278"/>
      <c r="V771" s="278"/>
      <c r="W771" s="278"/>
    </row>
    <row r="772" spans="1:23" s="269" customFormat="1" ht="20.25">
      <c r="A772" s="267"/>
      <c r="B772" s="275" t="s">
        <v>2436</v>
      </c>
      <c r="C772" s="275" t="s">
        <v>3831</v>
      </c>
      <c r="D772" s="168" t="s">
        <v>5967</v>
      </c>
      <c r="E772" s="168" t="s">
        <v>1867</v>
      </c>
      <c r="F772" s="168" t="s">
        <v>4623</v>
      </c>
      <c r="G772" s="168" t="s">
        <v>4623</v>
      </c>
      <c r="H772" s="292" t="s">
        <v>4623</v>
      </c>
      <c r="I772" s="293" t="s">
        <v>4623</v>
      </c>
      <c r="J772" s="293" t="s">
        <v>4623</v>
      </c>
      <c r="K772" s="290" t="s">
        <v>4623</v>
      </c>
      <c r="L772" s="290" t="s">
        <v>4623</v>
      </c>
      <c r="M772" s="290" t="s">
        <v>4623</v>
      </c>
      <c r="N772" s="290" t="s">
        <v>4623</v>
      </c>
      <c r="O772" s="290" t="s">
        <v>5968</v>
      </c>
      <c r="P772" s="290" t="s">
        <v>999</v>
      </c>
      <c r="Q772" s="291" t="s">
        <v>4623</v>
      </c>
      <c r="R772" s="276"/>
      <c r="S772" s="277">
        <f>IF(OR(C772="",C772=T$4),NA(),MATCH($B772&amp;$C772,'Smelter Reference List'!$J:$J,0))</f>
        <v>222</v>
      </c>
      <c r="T772" s="278"/>
      <c r="U772" s="278"/>
      <c r="V772" s="278"/>
      <c r="W772" s="278"/>
    </row>
    <row r="773" spans="1:23" s="269" customFormat="1" ht="20.25">
      <c r="A773" s="267"/>
      <c r="B773" s="275" t="s">
        <v>2436</v>
      </c>
      <c r="C773" s="275" t="s">
        <v>3831</v>
      </c>
      <c r="D773" s="168" t="s">
        <v>5969</v>
      </c>
      <c r="E773" s="168" t="s">
        <v>1867</v>
      </c>
      <c r="F773" s="168" t="s">
        <v>4623</v>
      </c>
      <c r="G773" s="168" t="s">
        <v>4623</v>
      </c>
      <c r="H773" s="292" t="s">
        <v>4623</v>
      </c>
      <c r="I773" s="293" t="s">
        <v>4623</v>
      </c>
      <c r="J773" s="293" t="s">
        <v>4623</v>
      </c>
      <c r="K773" s="290" t="s">
        <v>4623</v>
      </c>
      <c r="L773" s="290" t="s">
        <v>4623</v>
      </c>
      <c r="M773" s="290" t="s">
        <v>4623</v>
      </c>
      <c r="N773" s="290" t="s">
        <v>4623</v>
      </c>
      <c r="O773" s="290" t="s">
        <v>4623</v>
      </c>
      <c r="P773" s="290" t="s">
        <v>999</v>
      </c>
      <c r="Q773" s="291" t="s">
        <v>4623</v>
      </c>
      <c r="R773" s="276"/>
      <c r="S773" s="277">
        <f>IF(OR(C773="",C773=T$4),NA(),MATCH($B773&amp;$C773,'Smelter Reference List'!$J:$J,0))</f>
        <v>222</v>
      </c>
      <c r="T773" s="278"/>
      <c r="U773" s="278"/>
      <c r="V773" s="278"/>
      <c r="W773" s="278"/>
    </row>
    <row r="774" spans="1:23" s="269" customFormat="1" ht="20.25">
      <c r="A774" s="267"/>
      <c r="B774" s="275" t="s">
        <v>2436</v>
      </c>
      <c r="C774" s="275" t="s">
        <v>3831</v>
      </c>
      <c r="D774" s="168" t="s">
        <v>5970</v>
      </c>
      <c r="E774" s="168" t="s">
        <v>1867</v>
      </c>
      <c r="F774" s="168" t="s">
        <v>4623</v>
      </c>
      <c r="G774" s="168" t="s">
        <v>4623</v>
      </c>
      <c r="H774" s="292" t="s">
        <v>4623</v>
      </c>
      <c r="I774" s="293" t="s">
        <v>4623</v>
      </c>
      <c r="J774" s="293" t="s">
        <v>4623</v>
      </c>
      <c r="K774" s="290" t="s">
        <v>4623</v>
      </c>
      <c r="L774" s="290" t="s">
        <v>4623</v>
      </c>
      <c r="M774" s="290" t="s">
        <v>4623</v>
      </c>
      <c r="N774" s="290" t="s">
        <v>4623</v>
      </c>
      <c r="O774" s="290" t="s">
        <v>4623</v>
      </c>
      <c r="P774" s="290" t="s">
        <v>999</v>
      </c>
      <c r="Q774" s="291" t="s">
        <v>4623</v>
      </c>
      <c r="R774" s="276"/>
      <c r="S774" s="277">
        <f>IF(OR(C774="",C774=T$4),NA(),MATCH($B774&amp;$C774,'Smelter Reference List'!$J:$J,0))</f>
        <v>222</v>
      </c>
      <c r="T774" s="278"/>
      <c r="U774" s="278"/>
      <c r="V774" s="278"/>
      <c r="W774" s="278"/>
    </row>
    <row r="775" spans="1:23" s="269" customFormat="1" ht="20.25">
      <c r="A775" s="267"/>
      <c r="B775" s="275" t="s">
        <v>2436</v>
      </c>
      <c r="C775" s="275" t="s">
        <v>3831</v>
      </c>
      <c r="D775" s="168" t="s">
        <v>4865</v>
      </c>
      <c r="E775" s="168" t="s">
        <v>1867</v>
      </c>
      <c r="F775" s="168" t="s">
        <v>4623</v>
      </c>
      <c r="G775" s="168" t="s">
        <v>4623</v>
      </c>
      <c r="H775" s="292" t="s">
        <v>5971</v>
      </c>
      <c r="I775" s="293" t="s">
        <v>5949</v>
      </c>
      <c r="J775" s="293" t="s">
        <v>5972</v>
      </c>
      <c r="K775" s="290" t="s">
        <v>5973</v>
      </c>
      <c r="L775" s="290" t="s">
        <v>5974</v>
      </c>
      <c r="M775" s="290" t="s">
        <v>4623</v>
      </c>
      <c r="N775" s="290" t="s">
        <v>4623</v>
      </c>
      <c r="O775" s="290" t="s">
        <v>4623</v>
      </c>
      <c r="P775" s="290" t="s">
        <v>999</v>
      </c>
      <c r="Q775" s="291" t="s">
        <v>4623</v>
      </c>
      <c r="R775" s="276"/>
      <c r="S775" s="277">
        <f>IF(OR(C775="",C775=T$4),NA(),MATCH($B775&amp;$C775,'Smelter Reference List'!$J:$J,0))</f>
        <v>222</v>
      </c>
      <c r="T775" s="278"/>
      <c r="U775" s="278"/>
      <c r="V775" s="278"/>
      <c r="W775" s="278"/>
    </row>
    <row r="776" spans="1:23" s="269" customFormat="1" ht="20.25">
      <c r="A776" s="267"/>
      <c r="B776" s="275" t="s">
        <v>2436</v>
      </c>
      <c r="C776" s="275" t="s">
        <v>3831</v>
      </c>
      <c r="D776" s="168" t="s">
        <v>5975</v>
      </c>
      <c r="E776" s="168" t="s">
        <v>1867</v>
      </c>
      <c r="F776" s="168" t="s">
        <v>4623</v>
      </c>
      <c r="G776" s="168" t="s">
        <v>4623</v>
      </c>
      <c r="H776" s="292" t="s">
        <v>4623</v>
      </c>
      <c r="I776" s="293" t="s">
        <v>4623</v>
      </c>
      <c r="J776" s="293" t="s">
        <v>4623</v>
      </c>
      <c r="K776" s="290" t="s">
        <v>4623</v>
      </c>
      <c r="L776" s="290" t="s">
        <v>4623</v>
      </c>
      <c r="M776" s="290" t="s">
        <v>4623</v>
      </c>
      <c r="N776" s="290" t="s">
        <v>4623</v>
      </c>
      <c r="O776" s="290" t="s">
        <v>4623</v>
      </c>
      <c r="P776" s="290" t="s">
        <v>999</v>
      </c>
      <c r="Q776" s="291" t="s">
        <v>4623</v>
      </c>
      <c r="R776" s="276"/>
      <c r="S776" s="277">
        <f>IF(OR(C776="",C776=T$4),NA(),MATCH($B776&amp;$C776,'Smelter Reference List'!$J:$J,0))</f>
        <v>222</v>
      </c>
      <c r="T776" s="278"/>
      <c r="U776" s="278"/>
      <c r="V776" s="278"/>
      <c r="W776" s="278"/>
    </row>
    <row r="777" spans="1:23" s="269" customFormat="1" ht="20.25">
      <c r="A777" s="267"/>
      <c r="B777" s="275" t="s">
        <v>2436</v>
      </c>
      <c r="C777" s="275" t="s">
        <v>3831</v>
      </c>
      <c r="D777" s="168" t="s">
        <v>59</v>
      </c>
      <c r="E777" s="168" t="s">
        <v>1867</v>
      </c>
      <c r="F777" s="168" t="s">
        <v>4623</v>
      </c>
      <c r="G777" s="168" t="s">
        <v>4623</v>
      </c>
      <c r="H777" s="292" t="s">
        <v>4623</v>
      </c>
      <c r="I777" s="293" t="s">
        <v>4623</v>
      </c>
      <c r="J777" s="293" t="s">
        <v>4623</v>
      </c>
      <c r="K777" s="290" t="s">
        <v>4623</v>
      </c>
      <c r="L777" s="290" t="s">
        <v>4623</v>
      </c>
      <c r="M777" s="290" t="s">
        <v>4623</v>
      </c>
      <c r="N777" s="290" t="s">
        <v>4623</v>
      </c>
      <c r="O777" s="290" t="s">
        <v>4623</v>
      </c>
      <c r="P777" s="290" t="s">
        <v>999</v>
      </c>
      <c r="Q777" s="291" t="s">
        <v>4623</v>
      </c>
      <c r="R777" s="276"/>
      <c r="S777" s="277">
        <f>IF(OR(C777="",C777=T$4),NA(),MATCH($B777&amp;$C777,'Smelter Reference List'!$J:$J,0))</f>
        <v>222</v>
      </c>
      <c r="T777" s="278"/>
      <c r="U777" s="278"/>
      <c r="V777" s="278"/>
      <c r="W777" s="278"/>
    </row>
    <row r="778" spans="1:23" s="269" customFormat="1" ht="20.25">
      <c r="A778" s="267"/>
      <c r="B778" s="275" t="s">
        <v>2436</v>
      </c>
      <c r="C778" s="275" t="s">
        <v>3831</v>
      </c>
      <c r="D778" s="168" t="s">
        <v>5976</v>
      </c>
      <c r="E778" s="168" t="s">
        <v>1867</v>
      </c>
      <c r="F778" s="168" t="s">
        <v>4623</v>
      </c>
      <c r="G778" s="168" t="s">
        <v>4623</v>
      </c>
      <c r="H778" s="292" t="s">
        <v>4623</v>
      </c>
      <c r="I778" s="293" t="s">
        <v>4623</v>
      </c>
      <c r="J778" s="293" t="s">
        <v>4623</v>
      </c>
      <c r="K778" s="290" t="s">
        <v>4623</v>
      </c>
      <c r="L778" s="290" t="s">
        <v>4623</v>
      </c>
      <c r="M778" s="290" t="s">
        <v>4623</v>
      </c>
      <c r="N778" s="290" t="s">
        <v>4623</v>
      </c>
      <c r="O778" s="290" t="s">
        <v>4623</v>
      </c>
      <c r="P778" s="290" t="s">
        <v>999</v>
      </c>
      <c r="Q778" s="291" t="s">
        <v>4623</v>
      </c>
      <c r="R778" s="276"/>
      <c r="S778" s="277">
        <f>IF(OR(C778="",C778=T$4),NA(),MATCH($B778&amp;$C778,'Smelter Reference List'!$J:$J,0))</f>
        <v>222</v>
      </c>
      <c r="T778" s="278"/>
      <c r="U778" s="278"/>
      <c r="V778" s="278"/>
      <c r="W778" s="278"/>
    </row>
    <row r="779" spans="1:23" s="269" customFormat="1" ht="20.25">
      <c r="A779" s="267"/>
      <c r="B779" s="275" t="s">
        <v>2436</v>
      </c>
      <c r="C779" s="275" t="s">
        <v>3831</v>
      </c>
      <c r="D779" s="168" t="s">
        <v>4910</v>
      </c>
      <c r="E779" s="168" t="s">
        <v>1867</v>
      </c>
      <c r="F779" s="168" t="s">
        <v>4623</v>
      </c>
      <c r="G779" s="168" t="s">
        <v>4623</v>
      </c>
      <c r="H779" s="292" t="s">
        <v>4623</v>
      </c>
      <c r="I779" s="293" t="s">
        <v>4623</v>
      </c>
      <c r="J779" s="293" t="s">
        <v>4623</v>
      </c>
      <c r="K779" s="290" t="s">
        <v>4623</v>
      </c>
      <c r="L779" s="290" t="s">
        <v>4623</v>
      </c>
      <c r="M779" s="290" t="s">
        <v>4623</v>
      </c>
      <c r="N779" s="290" t="s">
        <v>4623</v>
      </c>
      <c r="O779" s="290" t="s">
        <v>4623</v>
      </c>
      <c r="P779" s="290" t="s">
        <v>999</v>
      </c>
      <c r="Q779" s="291" t="s">
        <v>4623</v>
      </c>
      <c r="R779" s="276"/>
      <c r="S779" s="277">
        <f>IF(OR(C779="",C779=T$4),NA(),MATCH($B779&amp;$C779,'Smelter Reference List'!$J:$J,0))</f>
        <v>222</v>
      </c>
      <c r="T779" s="278"/>
      <c r="U779" s="278"/>
      <c r="V779" s="278"/>
      <c r="W779" s="278"/>
    </row>
    <row r="780" spans="1:23" s="269" customFormat="1" ht="20.25">
      <c r="A780" s="267"/>
      <c r="B780" s="275" t="s">
        <v>2436</v>
      </c>
      <c r="C780" s="275" t="s">
        <v>3831</v>
      </c>
      <c r="D780" s="168" t="s">
        <v>5977</v>
      </c>
      <c r="E780" s="168" t="s">
        <v>1867</v>
      </c>
      <c r="F780" s="168" t="s">
        <v>4623</v>
      </c>
      <c r="G780" s="168" t="s">
        <v>4623</v>
      </c>
      <c r="H780" s="292" t="s">
        <v>4623</v>
      </c>
      <c r="I780" s="293" t="s">
        <v>4623</v>
      </c>
      <c r="J780" s="293" t="s">
        <v>4623</v>
      </c>
      <c r="K780" s="290" t="s">
        <v>4623</v>
      </c>
      <c r="L780" s="290" t="s">
        <v>4623</v>
      </c>
      <c r="M780" s="290" t="s">
        <v>5376</v>
      </c>
      <c r="N780" s="290" t="s">
        <v>4623</v>
      </c>
      <c r="O780" s="290" t="s">
        <v>4623</v>
      </c>
      <c r="P780" s="290" t="s">
        <v>999</v>
      </c>
      <c r="Q780" s="291" t="s">
        <v>1005</v>
      </c>
      <c r="R780" s="276"/>
      <c r="S780" s="277">
        <f>IF(OR(C780="",C780=T$4),NA(),MATCH($B780&amp;$C780,'Smelter Reference List'!$J:$J,0))</f>
        <v>222</v>
      </c>
      <c r="T780" s="278"/>
      <c r="U780" s="278"/>
      <c r="V780" s="278"/>
      <c r="W780" s="278"/>
    </row>
    <row r="781" spans="1:23" s="269" customFormat="1" ht="20.25">
      <c r="A781" s="267"/>
      <c r="B781" s="275" t="s">
        <v>2436</v>
      </c>
      <c r="C781" s="275" t="s">
        <v>3831</v>
      </c>
      <c r="D781" s="168" t="s">
        <v>5978</v>
      </c>
      <c r="E781" s="168" t="s">
        <v>1867</v>
      </c>
      <c r="F781" s="168" t="s">
        <v>4623</v>
      </c>
      <c r="G781" s="168" t="s">
        <v>4623</v>
      </c>
      <c r="H781" s="292" t="s">
        <v>4623</v>
      </c>
      <c r="I781" s="293" t="s">
        <v>4623</v>
      </c>
      <c r="J781" s="293" t="s">
        <v>4623</v>
      </c>
      <c r="K781" s="290" t="s">
        <v>4623</v>
      </c>
      <c r="L781" s="290" t="s">
        <v>4623</v>
      </c>
      <c r="M781" s="290" t="s">
        <v>4623</v>
      </c>
      <c r="N781" s="290" t="s">
        <v>4623</v>
      </c>
      <c r="O781" s="290" t="s">
        <v>4623</v>
      </c>
      <c r="P781" s="290" t="s">
        <v>999</v>
      </c>
      <c r="Q781" s="291" t="s">
        <v>4623</v>
      </c>
      <c r="R781" s="276"/>
      <c r="S781" s="277">
        <f>IF(OR(C781="",C781=T$4),NA(),MATCH($B781&amp;$C781,'Smelter Reference List'!$J:$J,0))</f>
        <v>222</v>
      </c>
      <c r="T781" s="278"/>
      <c r="U781" s="278"/>
      <c r="V781" s="278"/>
      <c r="W781" s="278"/>
    </row>
    <row r="782" spans="1:23" s="269" customFormat="1" ht="20.25">
      <c r="A782" s="267"/>
      <c r="B782" s="275" t="s">
        <v>2436</v>
      </c>
      <c r="C782" s="275" t="s">
        <v>3831</v>
      </c>
      <c r="D782" s="168" t="s">
        <v>5979</v>
      </c>
      <c r="E782" s="168" t="s">
        <v>1867</v>
      </c>
      <c r="F782" s="168" t="s">
        <v>4623</v>
      </c>
      <c r="G782" s="168" t="s">
        <v>4623</v>
      </c>
      <c r="H782" s="292" t="s">
        <v>4623</v>
      </c>
      <c r="I782" s="293" t="s">
        <v>4623</v>
      </c>
      <c r="J782" s="293" t="s">
        <v>4623</v>
      </c>
      <c r="K782" s="290" t="s">
        <v>4623</v>
      </c>
      <c r="L782" s="290" t="s">
        <v>4623</v>
      </c>
      <c r="M782" s="290" t="s">
        <v>4623</v>
      </c>
      <c r="N782" s="290" t="s">
        <v>4623</v>
      </c>
      <c r="O782" s="290" t="s">
        <v>4623</v>
      </c>
      <c r="P782" s="290" t="s">
        <v>999</v>
      </c>
      <c r="Q782" s="291" t="s">
        <v>4623</v>
      </c>
      <c r="R782" s="276"/>
      <c r="S782" s="277">
        <f>IF(OR(C782="",C782=T$4),NA(),MATCH($B782&amp;$C782,'Smelter Reference List'!$J:$J,0))</f>
        <v>222</v>
      </c>
      <c r="T782" s="278"/>
      <c r="U782" s="278"/>
      <c r="V782" s="278"/>
      <c r="W782" s="278"/>
    </row>
    <row r="783" spans="1:23" s="269" customFormat="1" ht="20.25">
      <c r="A783" s="267"/>
      <c r="B783" s="275" t="s">
        <v>2436</v>
      </c>
      <c r="C783" s="275" t="s">
        <v>3831</v>
      </c>
      <c r="D783" s="168" t="s">
        <v>5980</v>
      </c>
      <c r="E783" s="168" t="s">
        <v>1867</v>
      </c>
      <c r="F783" s="168" t="s">
        <v>4623</v>
      </c>
      <c r="G783" s="168" t="s">
        <v>4623</v>
      </c>
      <c r="H783" s="292" t="s">
        <v>5981</v>
      </c>
      <c r="I783" s="293" t="s">
        <v>5982</v>
      </c>
      <c r="J783" s="293" t="s">
        <v>5983</v>
      </c>
      <c r="K783" s="290" t="s">
        <v>4623</v>
      </c>
      <c r="L783" s="290" t="s">
        <v>4623</v>
      </c>
      <c r="M783" s="290" t="s">
        <v>4804</v>
      </c>
      <c r="N783" s="290" t="s">
        <v>4623</v>
      </c>
      <c r="O783" s="290" t="s">
        <v>4623</v>
      </c>
      <c r="P783" s="290" t="s">
        <v>999</v>
      </c>
      <c r="Q783" s="291" t="s">
        <v>4623</v>
      </c>
      <c r="R783" s="276"/>
      <c r="S783" s="277">
        <f>IF(OR(C783="",C783=T$4),NA(),MATCH($B783&amp;$C783,'Smelter Reference List'!$J:$J,0))</f>
        <v>222</v>
      </c>
      <c r="T783" s="278"/>
      <c r="U783" s="278"/>
      <c r="V783" s="278"/>
      <c r="W783" s="278"/>
    </row>
    <row r="784" spans="1:23" s="269" customFormat="1" ht="20.25">
      <c r="A784" s="267"/>
      <c r="B784" s="275" t="s">
        <v>2436</v>
      </c>
      <c r="C784" s="275" t="s">
        <v>3831</v>
      </c>
      <c r="D784" s="168" t="s">
        <v>5984</v>
      </c>
      <c r="E784" s="168" t="s">
        <v>1868</v>
      </c>
      <c r="F784" s="168" t="s">
        <v>4623</v>
      </c>
      <c r="G784" s="168" t="s">
        <v>4623</v>
      </c>
      <c r="H784" s="292" t="s">
        <v>4623</v>
      </c>
      <c r="I784" s="293" t="s">
        <v>4623</v>
      </c>
      <c r="J784" s="293" t="s">
        <v>4623</v>
      </c>
      <c r="K784" s="290" t="s">
        <v>4623</v>
      </c>
      <c r="L784" s="290" t="s">
        <v>4623</v>
      </c>
      <c r="M784" s="290" t="s">
        <v>4623</v>
      </c>
      <c r="N784" s="290" t="s">
        <v>4623</v>
      </c>
      <c r="O784" s="290" t="s">
        <v>4623</v>
      </c>
      <c r="P784" s="290" t="s">
        <v>999</v>
      </c>
      <c r="Q784" s="291" t="s">
        <v>4623</v>
      </c>
      <c r="R784" s="276"/>
      <c r="S784" s="277">
        <f>IF(OR(C784="",C784=T$4),NA(),MATCH($B784&amp;$C784,'Smelter Reference List'!$J:$J,0))</f>
        <v>222</v>
      </c>
      <c r="T784" s="278"/>
      <c r="U784" s="278"/>
      <c r="V784" s="278"/>
      <c r="W784" s="278"/>
    </row>
    <row r="785" spans="1:23" s="269" customFormat="1" ht="20.25">
      <c r="A785" s="267"/>
      <c r="B785" s="275" t="s">
        <v>2436</v>
      </c>
      <c r="C785" s="275" t="s">
        <v>3831</v>
      </c>
      <c r="D785" s="168" t="s">
        <v>5985</v>
      </c>
      <c r="E785" s="168" t="s">
        <v>1868</v>
      </c>
      <c r="F785" s="168" t="s">
        <v>4623</v>
      </c>
      <c r="G785" s="168" t="s">
        <v>4623</v>
      </c>
      <c r="H785" s="292" t="s">
        <v>4623</v>
      </c>
      <c r="I785" s="293" t="s">
        <v>4623</v>
      </c>
      <c r="J785" s="293" t="s">
        <v>4623</v>
      </c>
      <c r="K785" s="290" t="s">
        <v>4623</v>
      </c>
      <c r="L785" s="290" t="s">
        <v>4623</v>
      </c>
      <c r="M785" s="290" t="s">
        <v>4623</v>
      </c>
      <c r="N785" s="290" t="s">
        <v>4623</v>
      </c>
      <c r="O785" s="290" t="s">
        <v>4623</v>
      </c>
      <c r="P785" s="290" t="s">
        <v>999</v>
      </c>
      <c r="Q785" s="291" t="s">
        <v>4623</v>
      </c>
      <c r="R785" s="276"/>
      <c r="S785" s="277">
        <f>IF(OR(C785="",C785=T$4),NA(),MATCH($B785&amp;$C785,'Smelter Reference List'!$J:$J,0))</f>
        <v>222</v>
      </c>
      <c r="T785" s="278"/>
      <c r="U785" s="278"/>
      <c r="V785" s="278"/>
      <c r="W785" s="278"/>
    </row>
    <row r="786" spans="1:23" s="269" customFormat="1" ht="20.25">
      <c r="A786" s="267"/>
      <c r="B786" s="275" t="s">
        <v>2436</v>
      </c>
      <c r="C786" s="275" t="s">
        <v>3831</v>
      </c>
      <c r="D786" s="168" t="s">
        <v>5986</v>
      </c>
      <c r="E786" s="168" t="s">
        <v>1868</v>
      </c>
      <c r="F786" s="168" t="s">
        <v>4623</v>
      </c>
      <c r="G786" s="168" t="s">
        <v>4623</v>
      </c>
      <c r="H786" s="292" t="s">
        <v>4623</v>
      </c>
      <c r="I786" s="293" t="s">
        <v>4623</v>
      </c>
      <c r="J786" s="293" t="s">
        <v>4623</v>
      </c>
      <c r="K786" s="290" t="s">
        <v>4623</v>
      </c>
      <c r="L786" s="290" t="s">
        <v>4623</v>
      </c>
      <c r="M786" s="290" t="s">
        <v>4623</v>
      </c>
      <c r="N786" s="290" t="s">
        <v>4623</v>
      </c>
      <c r="O786" s="290" t="s">
        <v>4623</v>
      </c>
      <c r="P786" s="290" t="s">
        <v>999</v>
      </c>
      <c r="Q786" s="291" t="s">
        <v>4623</v>
      </c>
      <c r="R786" s="276"/>
      <c r="S786" s="277">
        <f>IF(OR(C786="",C786=T$4),NA(),MATCH($B786&amp;$C786,'Smelter Reference List'!$J:$J,0))</f>
        <v>222</v>
      </c>
      <c r="T786" s="278"/>
      <c r="U786" s="278"/>
      <c r="V786" s="278"/>
      <c r="W786" s="278"/>
    </row>
    <row r="787" spans="1:23" s="269" customFormat="1" ht="20.25">
      <c r="A787" s="267"/>
      <c r="B787" s="275" t="s">
        <v>2436</v>
      </c>
      <c r="C787" s="275" t="s">
        <v>3831</v>
      </c>
      <c r="D787" s="168" t="s">
        <v>5987</v>
      </c>
      <c r="E787" s="168" t="s">
        <v>1868</v>
      </c>
      <c r="F787" s="168" t="s">
        <v>4623</v>
      </c>
      <c r="G787" s="168" t="s">
        <v>4623</v>
      </c>
      <c r="H787" s="292" t="s">
        <v>4623</v>
      </c>
      <c r="I787" s="293" t="s">
        <v>4623</v>
      </c>
      <c r="J787" s="293" t="s">
        <v>4623</v>
      </c>
      <c r="K787" s="290" t="s">
        <v>4623</v>
      </c>
      <c r="L787" s="290" t="s">
        <v>4623</v>
      </c>
      <c r="M787" s="290" t="s">
        <v>4623</v>
      </c>
      <c r="N787" s="290" t="s">
        <v>4623</v>
      </c>
      <c r="O787" s="290" t="s">
        <v>4623</v>
      </c>
      <c r="P787" s="290" t="s">
        <v>999</v>
      </c>
      <c r="Q787" s="291" t="s">
        <v>4623</v>
      </c>
      <c r="R787" s="276"/>
      <c r="S787" s="277">
        <f>IF(OR(C787="",C787=T$4),NA(),MATCH($B787&amp;$C787,'Smelter Reference List'!$J:$J,0))</f>
        <v>222</v>
      </c>
      <c r="T787" s="278"/>
      <c r="U787" s="278"/>
      <c r="V787" s="278"/>
      <c r="W787" s="278"/>
    </row>
    <row r="788" spans="1:23" s="269" customFormat="1" ht="20.25">
      <c r="A788" s="267"/>
      <c r="B788" s="275" t="s">
        <v>2436</v>
      </c>
      <c r="C788" s="275" t="s">
        <v>3831</v>
      </c>
      <c r="D788" s="168" t="s">
        <v>5988</v>
      </c>
      <c r="E788" s="168" t="s">
        <v>1868</v>
      </c>
      <c r="F788" s="168" t="s">
        <v>4623</v>
      </c>
      <c r="G788" s="168" t="s">
        <v>4623</v>
      </c>
      <c r="H788" s="292" t="s">
        <v>4623</v>
      </c>
      <c r="I788" s="293" t="s">
        <v>4623</v>
      </c>
      <c r="J788" s="293" t="s">
        <v>4623</v>
      </c>
      <c r="K788" s="290" t="s">
        <v>4623</v>
      </c>
      <c r="L788" s="290" t="s">
        <v>4623</v>
      </c>
      <c r="M788" s="290" t="s">
        <v>4623</v>
      </c>
      <c r="N788" s="290" t="s">
        <v>4623</v>
      </c>
      <c r="O788" s="290" t="s">
        <v>4623</v>
      </c>
      <c r="P788" s="290" t="s">
        <v>999</v>
      </c>
      <c r="Q788" s="291" t="s">
        <v>4623</v>
      </c>
      <c r="R788" s="276"/>
      <c r="S788" s="277">
        <f>IF(OR(C788="",C788=T$4),NA(),MATCH($B788&amp;$C788,'Smelter Reference List'!$J:$J,0))</f>
        <v>222</v>
      </c>
      <c r="T788" s="278"/>
      <c r="U788" s="278"/>
      <c r="V788" s="278"/>
      <c r="W788" s="278"/>
    </row>
    <row r="789" spans="1:23" s="269" customFormat="1" ht="20.25">
      <c r="A789" s="267"/>
      <c r="B789" s="275" t="s">
        <v>2436</v>
      </c>
      <c r="C789" s="275" t="s">
        <v>3831</v>
      </c>
      <c r="D789" s="168" t="s">
        <v>2</v>
      </c>
      <c r="E789" s="168" t="s">
        <v>1874</v>
      </c>
      <c r="F789" s="168" t="s">
        <v>4623</v>
      </c>
      <c r="G789" s="168" t="s">
        <v>4623</v>
      </c>
      <c r="H789" s="292" t="s">
        <v>4623</v>
      </c>
      <c r="I789" s="293" t="s">
        <v>4623</v>
      </c>
      <c r="J789" s="293" t="s">
        <v>4623</v>
      </c>
      <c r="K789" s="290" t="s">
        <v>4623</v>
      </c>
      <c r="L789" s="290" t="s">
        <v>4623</v>
      </c>
      <c r="M789" s="290" t="s">
        <v>4623</v>
      </c>
      <c r="N789" s="290" t="s">
        <v>4623</v>
      </c>
      <c r="O789" s="290" t="s">
        <v>4623</v>
      </c>
      <c r="P789" s="290" t="s">
        <v>999</v>
      </c>
      <c r="Q789" s="291" t="s">
        <v>4623</v>
      </c>
      <c r="R789" s="276"/>
      <c r="S789" s="277">
        <f>IF(OR(C789="",C789=T$4),NA(),MATCH($B789&amp;$C789,'Smelter Reference List'!$J:$J,0))</f>
        <v>222</v>
      </c>
      <c r="T789" s="278"/>
      <c r="U789" s="278"/>
      <c r="V789" s="278"/>
      <c r="W789" s="278"/>
    </row>
    <row r="790" spans="1:23" s="269" customFormat="1" ht="20.25">
      <c r="A790" s="267"/>
      <c r="B790" s="275" t="s">
        <v>2436</v>
      </c>
      <c r="C790" s="275" t="s">
        <v>3831</v>
      </c>
      <c r="D790" s="168" t="s">
        <v>4629</v>
      </c>
      <c r="E790" s="168" t="s">
        <v>2317</v>
      </c>
      <c r="F790" s="168" t="s">
        <v>4623</v>
      </c>
      <c r="G790" s="168" t="s">
        <v>4623</v>
      </c>
      <c r="H790" s="292" t="s">
        <v>5989</v>
      </c>
      <c r="I790" s="293" t="s">
        <v>4623</v>
      </c>
      <c r="J790" s="293" t="s">
        <v>4623</v>
      </c>
      <c r="K790" s="290" t="s">
        <v>4623</v>
      </c>
      <c r="L790" s="290" t="s">
        <v>4623</v>
      </c>
      <c r="M790" s="290" t="s">
        <v>4629</v>
      </c>
      <c r="N790" s="290" t="s">
        <v>4834</v>
      </c>
      <c r="O790" s="290" t="s">
        <v>4623</v>
      </c>
      <c r="P790" s="290" t="s">
        <v>999</v>
      </c>
      <c r="Q790" s="291" t="s">
        <v>4623</v>
      </c>
      <c r="R790" s="276"/>
      <c r="S790" s="277">
        <f>IF(OR(C790="",C790=T$4),NA(),MATCH($B790&amp;$C790,'Smelter Reference List'!$J:$J,0))</f>
        <v>222</v>
      </c>
      <c r="T790" s="278"/>
      <c r="U790" s="278"/>
      <c r="V790" s="278"/>
      <c r="W790" s="278"/>
    </row>
    <row r="791" spans="1:23" s="269" customFormat="1" ht="20.25">
      <c r="A791" s="267"/>
      <c r="B791" s="275" t="s">
        <v>2436</v>
      </c>
      <c r="C791" s="275" t="s">
        <v>1906</v>
      </c>
      <c r="D791" s="168" t="s">
        <v>5990</v>
      </c>
      <c r="E791" s="168" t="s">
        <v>1825</v>
      </c>
      <c r="F791" s="168" t="s">
        <v>1416</v>
      </c>
      <c r="G791" s="168" t="s">
        <v>3324</v>
      </c>
      <c r="H791" s="292" t="s">
        <v>4623</v>
      </c>
      <c r="I791" s="293" t="s">
        <v>4623</v>
      </c>
      <c r="J791" s="293" t="s">
        <v>4623</v>
      </c>
      <c r="K791" s="290" t="s">
        <v>4623</v>
      </c>
      <c r="L791" s="290" t="s">
        <v>4623</v>
      </c>
      <c r="M791" s="290" t="s">
        <v>4623</v>
      </c>
      <c r="N791" s="290" t="s">
        <v>4623</v>
      </c>
      <c r="O791" s="290" t="s">
        <v>1005</v>
      </c>
      <c r="P791" s="290" t="s">
        <v>999</v>
      </c>
      <c r="Q791" s="291" t="s">
        <v>4623</v>
      </c>
      <c r="R791" s="276"/>
      <c r="S791" s="277">
        <f>IF(OR(C791="",C791=T$4),NA(),MATCH($B791&amp;$C791,'Smelter Reference List'!$J:$J,0))</f>
        <v>173</v>
      </c>
      <c r="T791" s="278"/>
      <c r="U791" s="278"/>
      <c r="V791" s="278"/>
      <c r="W791" s="278"/>
    </row>
    <row r="792" spans="1:23" s="269" customFormat="1" ht="20.25">
      <c r="A792" s="267"/>
      <c r="B792" s="275" t="s">
        <v>2436</v>
      </c>
      <c r="C792" s="275" t="s">
        <v>1907</v>
      </c>
      <c r="D792" s="168" t="s">
        <v>5991</v>
      </c>
      <c r="E792" s="168" t="s">
        <v>1861</v>
      </c>
      <c r="F792" s="168" t="s">
        <v>1417</v>
      </c>
      <c r="G792" s="168" t="s">
        <v>4623</v>
      </c>
      <c r="H792" s="292" t="s">
        <v>5992</v>
      </c>
      <c r="I792" s="293" t="s">
        <v>3505</v>
      </c>
      <c r="J792" s="293" t="s">
        <v>5993</v>
      </c>
      <c r="K792" s="290" t="s">
        <v>4623</v>
      </c>
      <c r="L792" s="290" t="s">
        <v>4623</v>
      </c>
      <c r="M792" s="290" t="s">
        <v>4623</v>
      </c>
      <c r="N792" s="290" t="s">
        <v>4628</v>
      </c>
      <c r="O792" s="290" t="s">
        <v>4628</v>
      </c>
      <c r="P792" s="290" t="s">
        <v>999</v>
      </c>
      <c r="Q792" s="291" t="s">
        <v>5994</v>
      </c>
      <c r="R792" s="276"/>
      <c r="S792" s="277">
        <f>IF(OR(C792="",C792=T$4),NA(),MATCH($B792&amp;$C792,'Smelter Reference List'!$J:$J,0))</f>
        <v>174</v>
      </c>
      <c r="T792" s="278"/>
      <c r="U792" s="278"/>
      <c r="V792" s="278"/>
      <c r="W792" s="278"/>
    </row>
    <row r="793" spans="1:23" s="269" customFormat="1" ht="20.25">
      <c r="A793" s="267"/>
      <c r="B793" s="275" t="s">
        <v>2436</v>
      </c>
      <c r="C793" s="275" t="s">
        <v>4426</v>
      </c>
      <c r="D793" s="168" t="s">
        <v>4426</v>
      </c>
      <c r="E793" s="168" t="s">
        <v>2362</v>
      </c>
      <c r="F793" s="168" t="s">
        <v>1422</v>
      </c>
      <c r="G793" s="168" t="s">
        <v>3324</v>
      </c>
      <c r="H793" s="292" t="s">
        <v>4623</v>
      </c>
      <c r="I793" s="293" t="s">
        <v>4623</v>
      </c>
      <c r="J793" s="293" t="s">
        <v>4623</v>
      </c>
      <c r="K793" s="290" t="s">
        <v>4623</v>
      </c>
      <c r="L793" s="290" t="s">
        <v>4623</v>
      </c>
      <c r="M793" s="290" t="s">
        <v>4623</v>
      </c>
      <c r="N793" s="290" t="s">
        <v>4623</v>
      </c>
      <c r="O793" s="290" t="s">
        <v>4678</v>
      </c>
      <c r="P793" s="290" t="s">
        <v>999</v>
      </c>
      <c r="Q793" s="291" t="s">
        <v>4623</v>
      </c>
      <c r="R793" s="276"/>
      <c r="S793" s="277">
        <f>IF(OR(C793="",C793=T$4),NA(),MATCH($B793&amp;$C793,'Smelter Reference List'!$J:$J,0))</f>
        <v>192</v>
      </c>
      <c r="T793" s="278"/>
      <c r="U793" s="278"/>
      <c r="V793" s="278"/>
      <c r="W793" s="278"/>
    </row>
    <row r="794" spans="1:23" s="269" customFormat="1" ht="20.25">
      <c r="A794" s="267"/>
      <c r="B794" s="275" t="s">
        <v>2436</v>
      </c>
      <c r="C794" s="275" t="s">
        <v>1254</v>
      </c>
      <c r="D794" s="168" t="s">
        <v>1254</v>
      </c>
      <c r="E794" s="168" t="s">
        <v>2369</v>
      </c>
      <c r="F794" s="168" t="s">
        <v>1424</v>
      </c>
      <c r="G794" s="168" t="s">
        <v>3324</v>
      </c>
      <c r="H794" s="292" t="s">
        <v>4623</v>
      </c>
      <c r="I794" s="293" t="s">
        <v>4623</v>
      </c>
      <c r="J794" s="293" t="s">
        <v>4623</v>
      </c>
      <c r="K794" s="290" t="s">
        <v>4623</v>
      </c>
      <c r="L794" s="290" t="s">
        <v>4623</v>
      </c>
      <c r="M794" s="290" t="s">
        <v>4623</v>
      </c>
      <c r="N794" s="290" t="s">
        <v>4623</v>
      </c>
      <c r="O794" s="290" t="s">
        <v>5760</v>
      </c>
      <c r="P794" s="290" t="s">
        <v>999</v>
      </c>
      <c r="Q794" s="291" t="s">
        <v>4623</v>
      </c>
      <c r="R794" s="276"/>
      <c r="S794" s="277">
        <f>IF(OR(C794="",C794=T$4),NA(),MATCH($B794&amp;$C794,'Smelter Reference List'!$J:$J,0))</f>
        <v>195</v>
      </c>
      <c r="T794" s="278"/>
      <c r="U794" s="278"/>
      <c r="V794" s="278"/>
      <c r="W794" s="278"/>
    </row>
    <row r="795" spans="1:23" s="269" customFormat="1" ht="20.25">
      <c r="A795" s="267"/>
      <c r="B795" s="275" t="s">
        <v>2436</v>
      </c>
      <c r="C795" s="275" t="s">
        <v>228</v>
      </c>
      <c r="D795" s="168" t="s">
        <v>228</v>
      </c>
      <c r="E795" s="168" t="s">
        <v>1851</v>
      </c>
      <c r="F795" s="168" t="s">
        <v>229</v>
      </c>
      <c r="G795" s="168" t="s">
        <v>3324</v>
      </c>
      <c r="H795" s="292" t="s">
        <v>4623</v>
      </c>
      <c r="I795" s="293" t="s">
        <v>4623</v>
      </c>
      <c r="J795" s="293" t="s">
        <v>4623</v>
      </c>
      <c r="K795" s="290" t="s">
        <v>4623</v>
      </c>
      <c r="L795" s="290" t="s">
        <v>4623</v>
      </c>
      <c r="M795" s="290" t="s">
        <v>4623</v>
      </c>
      <c r="N795" s="290" t="s">
        <v>4623</v>
      </c>
      <c r="O795" s="290" t="s">
        <v>5995</v>
      </c>
      <c r="P795" s="290" t="s">
        <v>999</v>
      </c>
      <c r="Q795" s="291" t="s">
        <v>4623</v>
      </c>
      <c r="R795" s="276"/>
      <c r="S795" s="277">
        <f>IF(OR(C795="",C795=T$4),NA(),MATCH($B795&amp;$C795,'Smelter Reference List'!$J:$J,0))</f>
        <v>198</v>
      </c>
      <c r="T795" s="278"/>
      <c r="U795" s="278"/>
      <c r="V795" s="278"/>
      <c r="W795" s="278"/>
    </row>
    <row r="796" spans="1:23" s="269" customFormat="1" ht="20.25">
      <c r="A796" s="267"/>
      <c r="B796" s="275" t="s">
        <v>2436</v>
      </c>
      <c r="C796" s="275" t="s">
        <v>2575</v>
      </c>
      <c r="D796" s="168" t="s">
        <v>5996</v>
      </c>
      <c r="E796" s="168" t="s">
        <v>2271</v>
      </c>
      <c r="F796" s="168" t="s">
        <v>1426</v>
      </c>
      <c r="G796" s="168" t="s">
        <v>4623</v>
      </c>
      <c r="H796" s="292" t="s">
        <v>4859</v>
      </c>
      <c r="I796" s="293" t="s">
        <v>3524</v>
      </c>
      <c r="J796" s="293" t="s">
        <v>4623</v>
      </c>
      <c r="K796" s="290" t="s">
        <v>4860</v>
      </c>
      <c r="L796" s="290" t="s">
        <v>4623</v>
      </c>
      <c r="M796" s="290" t="s">
        <v>4623</v>
      </c>
      <c r="N796" s="290" t="s">
        <v>4671</v>
      </c>
      <c r="O796" s="290" t="s">
        <v>4623</v>
      </c>
      <c r="P796" s="290" t="s">
        <v>999</v>
      </c>
      <c r="Q796" s="291" t="s">
        <v>4623</v>
      </c>
      <c r="R796" s="276"/>
      <c r="S796" s="277">
        <f>IF(OR(C796="",C796=T$4),NA(),MATCH($B796&amp;$C796,'Smelter Reference List'!$J:$J,0))</f>
        <v>199</v>
      </c>
      <c r="T796" s="278"/>
      <c r="U796" s="278"/>
      <c r="V796" s="278"/>
      <c r="W796" s="278"/>
    </row>
    <row r="797" spans="1:23" s="269" customFormat="1" ht="20.25">
      <c r="A797" s="267"/>
      <c r="B797" s="275" t="s">
        <v>2436</v>
      </c>
      <c r="C797" s="275" t="s">
        <v>1576</v>
      </c>
      <c r="D797" s="168" t="s">
        <v>1576</v>
      </c>
      <c r="E797" s="168" t="s">
        <v>1867</v>
      </c>
      <c r="F797" s="168" t="s">
        <v>1427</v>
      </c>
      <c r="G797" s="168" t="s">
        <v>3324</v>
      </c>
      <c r="H797" s="292" t="s">
        <v>4623</v>
      </c>
      <c r="I797" s="293" t="s">
        <v>4623</v>
      </c>
      <c r="J797" s="293" t="s">
        <v>4623</v>
      </c>
      <c r="K797" s="290" t="s">
        <v>4623</v>
      </c>
      <c r="L797" s="290" t="s">
        <v>4623</v>
      </c>
      <c r="M797" s="290" t="s">
        <v>4623</v>
      </c>
      <c r="N797" s="290" t="s">
        <v>4623</v>
      </c>
      <c r="O797" s="290" t="s">
        <v>5997</v>
      </c>
      <c r="P797" s="290" t="s">
        <v>999</v>
      </c>
      <c r="Q797" s="291" t="s">
        <v>4623</v>
      </c>
      <c r="R797" s="276"/>
      <c r="S797" s="277">
        <f>IF(OR(C797="",C797=T$4),NA(),MATCH($B797&amp;$C797,'Smelter Reference List'!$J:$J,0))</f>
        <v>200</v>
      </c>
      <c r="T797" s="278"/>
      <c r="U797" s="278"/>
      <c r="V797" s="278"/>
      <c r="W797" s="278"/>
    </row>
    <row r="798" spans="1:23" s="269" customFormat="1" ht="20.25">
      <c r="A798" s="267"/>
      <c r="B798" s="275" t="s">
        <v>2436</v>
      </c>
      <c r="C798" s="275" t="s">
        <v>2576</v>
      </c>
      <c r="D798" s="168" t="s">
        <v>5749</v>
      </c>
      <c r="E798" s="168" t="s">
        <v>2292</v>
      </c>
      <c r="F798" s="168" t="s">
        <v>1428</v>
      </c>
      <c r="G798" s="168" t="s">
        <v>3324</v>
      </c>
      <c r="H798" s="292" t="s">
        <v>4623</v>
      </c>
      <c r="I798" s="293" t="s">
        <v>4623</v>
      </c>
      <c r="J798" s="293" t="s">
        <v>4623</v>
      </c>
      <c r="K798" s="290" t="s">
        <v>4623</v>
      </c>
      <c r="L798" s="290" t="s">
        <v>4623</v>
      </c>
      <c r="M798" s="290" t="s">
        <v>4623</v>
      </c>
      <c r="N798" s="290" t="s">
        <v>4623</v>
      </c>
      <c r="O798" s="290" t="s">
        <v>4623</v>
      </c>
      <c r="P798" s="290" t="s">
        <v>999</v>
      </c>
      <c r="Q798" s="291" t="s">
        <v>4623</v>
      </c>
      <c r="R798" s="276"/>
      <c r="S798" s="277">
        <f>IF(OR(C798="",C798=T$4),NA(),MATCH($B798&amp;$C798,'Smelter Reference List'!$J:$J,0))</f>
        <v>201</v>
      </c>
      <c r="T798" s="278"/>
      <c r="U798" s="278"/>
      <c r="V798" s="278"/>
      <c r="W798" s="278"/>
    </row>
    <row r="799" spans="1:23" s="269" customFormat="1" ht="20.25">
      <c r="A799" s="267"/>
      <c r="B799" s="275" t="s">
        <v>2436</v>
      </c>
      <c r="C799" s="275" t="s">
        <v>4524</v>
      </c>
      <c r="D799" s="168" t="s">
        <v>5998</v>
      </c>
      <c r="E799" s="168" t="s">
        <v>2308</v>
      </c>
      <c r="F799" s="168" t="s">
        <v>4527</v>
      </c>
      <c r="G799" s="168" t="s">
        <v>3324</v>
      </c>
      <c r="H799" s="292" t="s">
        <v>4623</v>
      </c>
      <c r="I799" s="293" t="s">
        <v>4623</v>
      </c>
      <c r="J799" s="293" t="s">
        <v>4623</v>
      </c>
      <c r="K799" s="290" t="s">
        <v>4623</v>
      </c>
      <c r="L799" s="290" t="s">
        <v>4623</v>
      </c>
      <c r="M799" s="290" t="s">
        <v>4623</v>
      </c>
      <c r="N799" s="290" t="s">
        <v>4623</v>
      </c>
      <c r="O799" s="290" t="s">
        <v>4623</v>
      </c>
      <c r="P799" s="290" t="s">
        <v>999</v>
      </c>
      <c r="Q799" s="291" t="s">
        <v>4623</v>
      </c>
      <c r="R799" s="276"/>
      <c r="S799" s="277">
        <f>IF(OR(C799="",C799=T$4),NA(),MATCH($B799&amp;$C799,'Smelter Reference List'!$J:$J,0))</f>
        <v>203</v>
      </c>
      <c r="T799" s="278"/>
      <c r="U799" s="278"/>
      <c r="V799" s="278"/>
      <c r="W799" s="278"/>
    </row>
    <row r="800" spans="1:23" s="269" customFormat="1" ht="20.25">
      <c r="A800" s="267"/>
      <c r="B800" s="275" t="s">
        <v>2436</v>
      </c>
      <c r="C800" s="275" t="s">
        <v>4429</v>
      </c>
      <c r="D800" s="168" t="s">
        <v>4429</v>
      </c>
      <c r="E800" s="168" t="s">
        <v>2362</v>
      </c>
      <c r="F800" s="168" t="s">
        <v>1430</v>
      </c>
      <c r="G800" s="168" t="s">
        <v>3324</v>
      </c>
      <c r="H800" s="292" t="s">
        <v>4623</v>
      </c>
      <c r="I800" s="293" t="s">
        <v>4623</v>
      </c>
      <c r="J800" s="293" t="s">
        <v>4623</v>
      </c>
      <c r="K800" s="290" t="s">
        <v>4623</v>
      </c>
      <c r="L800" s="290" t="s">
        <v>4623</v>
      </c>
      <c r="M800" s="290" t="s">
        <v>4623</v>
      </c>
      <c r="N800" s="290" t="s">
        <v>4623</v>
      </c>
      <c r="O800" s="290" t="s">
        <v>4671</v>
      </c>
      <c r="P800" s="290" t="s">
        <v>999</v>
      </c>
      <c r="Q800" s="291" t="s">
        <v>4623</v>
      </c>
      <c r="R800" s="276"/>
      <c r="S800" s="277">
        <f>IF(OR(C800="",C800=T$4),NA(),MATCH($B800&amp;$C800,'Smelter Reference List'!$J:$J,0))</f>
        <v>206</v>
      </c>
      <c r="T800" s="278"/>
      <c r="U800" s="278"/>
      <c r="V800" s="278"/>
      <c r="W800" s="278"/>
    </row>
    <row r="801" spans="1:23" s="269" customFormat="1" ht="20.25">
      <c r="A801" s="267"/>
      <c r="B801" s="275" t="s">
        <v>2436</v>
      </c>
      <c r="C801" s="275" t="s">
        <v>4430</v>
      </c>
      <c r="D801" s="168" t="s">
        <v>4430</v>
      </c>
      <c r="E801" s="168" t="s">
        <v>2362</v>
      </c>
      <c r="F801" s="168" t="s">
        <v>1431</v>
      </c>
      <c r="G801" s="168" t="s">
        <v>4623</v>
      </c>
      <c r="H801" s="292" t="s">
        <v>5999</v>
      </c>
      <c r="I801" s="293" t="s">
        <v>4623</v>
      </c>
      <c r="J801" s="293" t="s">
        <v>4623</v>
      </c>
      <c r="K801" s="290" t="s">
        <v>6000</v>
      </c>
      <c r="L801" s="290" t="s">
        <v>6001</v>
      </c>
      <c r="M801" s="290" t="s">
        <v>4623</v>
      </c>
      <c r="N801" s="290" t="s">
        <v>4671</v>
      </c>
      <c r="O801" s="290" t="s">
        <v>4671</v>
      </c>
      <c r="P801" s="290" t="s">
        <v>999</v>
      </c>
      <c r="Q801" s="291" t="s">
        <v>4623</v>
      </c>
      <c r="R801" s="276"/>
      <c r="S801" s="277">
        <f>IF(OR(C801="",C801=T$4),NA(),MATCH($B801&amp;$C801,'Smelter Reference List'!$J:$J,0))</f>
        <v>209</v>
      </c>
      <c r="T801" s="278"/>
      <c r="U801" s="278"/>
      <c r="V801" s="278"/>
      <c r="W801" s="278"/>
    </row>
    <row r="802" spans="1:23" s="269" customFormat="1" ht="20.25">
      <c r="A802" s="267"/>
      <c r="B802" s="275" t="s">
        <v>2438</v>
      </c>
      <c r="C802" s="275" t="s">
        <v>3</v>
      </c>
      <c r="D802" s="168" t="s">
        <v>3</v>
      </c>
      <c r="E802" s="168" t="s">
        <v>2294</v>
      </c>
      <c r="F802" s="168" t="s">
        <v>1435</v>
      </c>
      <c r="G802" s="168" t="s">
        <v>4623</v>
      </c>
      <c r="H802" s="292" t="s">
        <v>6002</v>
      </c>
      <c r="I802" s="293" t="s">
        <v>6003</v>
      </c>
      <c r="J802" s="293" t="s">
        <v>6004</v>
      </c>
      <c r="K802" s="290" t="s">
        <v>6005</v>
      </c>
      <c r="L802" s="290" t="s">
        <v>4623</v>
      </c>
      <c r="M802" s="290" t="s">
        <v>6006</v>
      </c>
      <c r="N802" s="290" t="s">
        <v>4623</v>
      </c>
      <c r="O802" s="290" t="s">
        <v>4623</v>
      </c>
      <c r="P802" s="290" t="s">
        <v>999</v>
      </c>
      <c r="Q802" s="291" t="s">
        <v>4623</v>
      </c>
      <c r="R802" s="276"/>
      <c r="S802" s="277">
        <f>IF(OR(C802="",C802=T$4),NA(),MATCH($B802&amp;$C802,'Smelter Reference List'!$J:$J,0))</f>
        <v>224</v>
      </c>
      <c r="T802" s="278"/>
      <c r="U802" s="278"/>
      <c r="V802" s="278"/>
      <c r="W802" s="278"/>
    </row>
    <row r="803" spans="1:23" s="269" customFormat="1" ht="20.25">
      <c r="A803" s="267"/>
      <c r="B803" s="275" t="s">
        <v>2438</v>
      </c>
      <c r="C803" s="275" t="s">
        <v>2487</v>
      </c>
      <c r="D803" s="168" t="s">
        <v>4971</v>
      </c>
      <c r="E803" s="168" t="s">
        <v>2294</v>
      </c>
      <c r="F803" s="168" t="s">
        <v>1436</v>
      </c>
      <c r="G803" s="168" t="s">
        <v>3324</v>
      </c>
      <c r="H803" s="292" t="s">
        <v>4623</v>
      </c>
      <c r="I803" s="293" t="s">
        <v>4623</v>
      </c>
      <c r="J803" s="293" t="s">
        <v>4623</v>
      </c>
      <c r="K803" s="290" t="s">
        <v>4623</v>
      </c>
      <c r="L803" s="290" t="s">
        <v>4623</v>
      </c>
      <c r="M803" s="290" t="s">
        <v>4623</v>
      </c>
      <c r="N803" s="290" t="s">
        <v>4623</v>
      </c>
      <c r="O803" s="290" t="s">
        <v>4667</v>
      </c>
      <c r="P803" s="290" t="s">
        <v>999</v>
      </c>
      <c r="Q803" s="291" t="s">
        <v>4623</v>
      </c>
      <c r="R803" s="276"/>
      <c r="S803" s="277">
        <f>IF(OR(C803="",C803=T$4),NA(),MATCH($B803&amp;$C803,'Smelter Reference List'!$J:$J,0))</f>
        <v>226</v>
      </c>
      <c r="T803" s="278"/>
      <c r="U803" s="278"/>
      <c r="V803" s="278"/>
      <c r="W803" s="278"/>
    </row>
    <row r="804" spans="1:23" s="269" customFormat="1" ht="20.25">
      <c r="A804" s="267"/>
      <c r="B804" s="275" t="s">
        <v>2438</v>
      </c>
      <c r="C804" s="275" t="s">
        <v>2835</v>
      </c>
      <c r="D804" s="168" t="s">
        <v>6007</v>
      </c>
      <c r="E804" s="168" t="s">
        <v>1867</v>
      </c>
      <c r="F804" s="168" t="s">
        <v>2836</v>
      </c>
      <c r="G804" s="168" t="s">
        <v>3324</v>
      </c>
      <c r="H804" s="292" t="s">
        <v>4623</v>
      </c>
      <c r="I804" s="293" t="s">
        <v>4623</v>
      </c>
      <c r="J804" s="293" t="s">
        <v>4623</v>
      </c>
      <c r="K804" s="290" t="s">
        <v>4623</v>
      </c>
      <c r="L804" s="290" t="s">
        <v>4623</v>
      </c>
      <c r="M804" s="290" t="s">
        <v>4623</v>
      </c>
      <c r="N804" s="290" t="s">
        <v>4623</v>
      </c>
      <c r="O804" s="290" t="s">
        <v>4623</v>
      </c>
      <c r="P804" s="290" t="s">
        <v>999</v>
      </c>
      <c r="Q804" s="291" t="s">
        <v>4623</v>
      </c>
      <c r="R804" s="276"/>
      <c r="S804" s="277">
        <f>IF(OR(C804="",C804=T$4),NA(),MATCH($B804&amp;$C804,'Smelter Reference List'!$J:$J,0))</f>
        <v>227</v>
      </c>
      <c r="T804" s="278"/>
      <c r="U804" s="278"/>
      <c r="V804" s="278"/>
      <c r="W804" s="278"/>
    </row>
    <row r="805" spans="1:23" s="269" customFormat="1" ht="20.25">
      <c r="A805" s="267"/>
      <c r="B805" s="275" t="s">
        <v>2438</v>
      </c>
      <c r="C805" s="275" t="s">
        <v>2420</v>
      </c>
      <c r="D805" s="168" t="s">
        <v>2420</v>
      </c>
      <c r="E805" s="168" t="s">
        <v>1867</v>
      </c>
      <c r="F805" s="168" t="s">
        <v>1438</v>
      </c>
      <c r="G805" s="168" t="s">
        <v>3324</v>
      </c>
      <c r="H805" s="292" t="s">
        <v>4623</v>
      </c>
      <c r="I805" s="293" t="s">
        <v>4623</v>
      </c>
      <c r="J805" s="293" t="s">
        <v>4623</v>
      </c>
      <c r="K805" s="290" t="s">
        <v>4623</v>
      </c>
      <c r="L805" s="290" t="s">
        <v>4623</v>
      </c>
      <c r="M805" s="290" t="s">
        <v>4623</v>
      </c>
      <c r="N805" s="290" t="s">
        <v>4623</v>
      </c>
      <c r="O805" s="290" t="s">
        <v>6008</v>
      </c>
      <c r="P805" s="290" t="s">
        <v>999</v>
      </c>
      <c r="Q805" s="291" t="s">
        <v>4623</v>
      </c>
      <c r="R805" s="276"/>
      <c r="S805" s="277">
        <f>IF(OR(C805="",C805=T$4),NA(),MATCH($B805&amp;$C805,'Smelter Reference List'!$J:$J,0))</f>
        <v>230</v>
      </c>
      <c r="T805" s="278"/>
      <c r="U805" s="278"/>
      <c r="V805" s="278"/>
      <c r="W805" s="278"/>
    </row>
    <row r="806" spans="1:23" s="269" customFormat="1" ht="20.25">
      <c r="A806" s="267"/>
      <c r="B806" s="275" t="s">
        <v>2438</v>
      </c>
      <c r="C806" s="275" t="s">
        <v>78</v>
      </c>
      <c r="D806" s="168" t="s">
        <v>78</v>
      </c>
      <c r="E806" s="168" t="s">
        <v>2294</v>
      </c>
      <c r="F806" s="168" t="s">
        <v>1439</v>
      </c>
      <c r="G806" s="168" t="s">
        <v>3324</v>
      </c>
      <c r="H806" s="292" t="s">
        <v>4623</v>
      </c>
      <c r="I806" s="293" t="s">
        <v>4623</v>
      </c>
      <c r="J806" s="293" t="s">
        <v>4623</v>
      </c>
      <c r="K806" s="290" t="s">
        <v>4623</v>
      </c>
      <c r="L806" s="290" t="s">
        <v>4623</v>
      </c>
      <c r="M806" s="290" t="s">
        <v>4623</v>
      </c>
      <c r="N806" s="290" t="s">
        <v>4623</v>
      </c>
      <c r="O806" s="290" t="s">
        <v>6009</v>
      </c>
      <c r="P806" s="290" t="s">
        <v>999</v>
      </c>
      <c r="Q806" s="291" t="s">
        <v>4623</v>
      </c>
      <c r="R806" s="276"/>
      <c r="S806" s="277">
        <f>IF(OR(C806="",C806=T$4),NA(),MATCH($B806&amp;$C806,'Smelter Reference List'!$J:$J,0))</f>
        <v>232</v>
      </c>
      <c r="T806" s="278"/>
      <c r="U806" s="278"/>
      <c r="V806" s="278"/>
      <c r="W806" s="278"/>
    </row>
    <row r="807" spans="1:23" s="269" customFormat="1" ht="20.25">
      <c r="A807" s="267"/>
      <c r="B807" s="275" t="s">
        <v>2438</v>
      </c>
      <c r="C807" s="275" t="s">
        <v>4436</v>
      </c>
      <c r="D807" s="168" t="s">
        <v>6010</v>
      </c>
      <c r="E807" s="168" t="s">
        <v>2294</v>
      </c>
      <c r="F807" s="168" t="s">
        <v>2837</v>
      </c>
      <c r="G807" s="168" t="s">
        <v>3324</v>
      </c>
      <c r="H807" s="292" t="s">
        <v>4623</v>
      </c>
      <c r="I807" s="293" t="s">
        <v>4623</v>
      </c>
      <c r="J807" s="293" t="s">
        <v>4623</v>
      </c>
      <c r="K807" s="290" t="s">
        <v>4623</v>
      </c>
      <c r="L807" s="290" t="s">
        <v>4623</v>
      </c>
      <c r="M807" s="290" t="s">
        <v>4623</v>
      </c>
      <c r="N807" s="290" t="s">
        <v>4623</v>
      </c>
      <c r="O807" s="290" t="s">
        <v>4645</v>
      </c>
      <c r="P807" s="290" t="s">
        <v>999</v>
      </c>
      <c r="Q807" s="291" t="s">
        <v>4623</v>
      </c>
      <c r="R807" s="276"/>
      <c r="S807" s="277">
        <f>IF(OR(C807="",C807=T$4),NA(),MATCH($B807&amp;$C807,'Smelter Reference List'!$J:$J,0))</f>
        <v>233</v>
      </c>
      <c r="T807" s="278"/>
      <c r="U807" s="278"/>
      <c r="V807" s="278"/>
      <c r="W807" s="278"/>
    </row>
    <row r="808" spans="1:23" s="269" customFormat="1" ht="20.25">
      <c r="A808" s="267"/>
      <c r="B808" s="275" t="s">
        <v>2438</v>
      </c>
      <c r="C808" s="275" t="s">
        <v>2873</v>
      </c>
      <c r="D808" s="168" t="s">
        <v>2873</v>
      </c>
      <c r="E808" s="168" t="s">
        <v>2362</v>
      </c>
      <c r="F808" s="168" t="s">
        <v>2874</v>
      </c>
      <c r="G808" s="168" t="s">
        <v>3324</v>
      </c>
      <c r="H808" s="292" t="s">
        <v>4623</v>
      </c>
      <c r="I808" s="293" t="s">
        <v>4623</v>
      </c>
      <c r="J808" s="293" t="s">
        <v>4623</v>
      </c>
      <c r="K808" s="290" t="s">
        <v>4623</v>
      </c>
      <c r="L808" s="290" t="s">
        <v>4623</v>
      </c>
      <c r="M808" s="290" t="s">
        <v>4623</v>
      </c>
      <c r="N808" s="290" t="s">
        <v>4623</v>
      </c>
      <c r="O808" s="290" t="s">
        <v>4645</v>
      </c>
      <c r="P808" s="290" t="s">
        <v>999</v>
      </c>
      <c r="Q808" s="291" t="s">
        <v>4623</v>
      </c>
      <c r="R808" s="276"/>
      <c r="S808" s="277">
        <f>IF(OR(C808="",C808=T$4),NA(),MATCH($B808&amp;$C808,'Smelter Reference List'!$J:$J,0))</f>
        <v>234</v>
      </c>
      <c r="T808" s="278"/>
      <c r="U808" s="278"/>
      <c r="V808" s="278"/>
      <c r="W808" s="278"/>
    </row>
    <row r="809" spans="1:23" s="269" customFormat="1" ht="20.25">
      <c r="A809" s="267"/>
      <c r="B809" s="275" t="s">
        <v>2438</v>
      </c>
      <c r="C809" s="275" t="s">
        <v>2875</v>
      </c>
      <c r="D809" s="168" t="s">
        <v>2875</v>
      </c>
      <c r="E809" s="168" t="s">
        <v>1867</v>
      </c>
      <c r="F809" s="168" t="s">
        <v>2876</v>
      </c>
      <c r="G809" s="168" t="s">
        <v>3324</v>
      </c>
      <c r="H809" s="292" t="s">
        <v>4623</v>
      </c>
      <c r="I809" s="293" t="s">
        <v>4623</v>
      </c>
      <c r="J809" s="293" t="s">
        <v>4623</v>
      </c>
      <c r="K809" s="290" t="s">
        <v>4623</v>
      </c>
      <c r="L809" s="290" t="s">
        <v>4623</v>
      </c>
      <c r="M809" s="290" t="s">
        <v>4623</v>
      </c>
      <c r="N809" s="290" t="s">
        <v>4623</v>
      </c>
      <c r="O809" s="290" t="s">
        <v>6011</v>
      </c>
      <c r="P809" s="290" t="s">
        <v>999</v>
      </c>
      <c r="Q809" s="291" t="s">
        <v>4623</v>
      </c>
      <c r="R809" s="276"/>
      <c r="S809" s="277">
        <f>IF(OR(C809="",C809=T$4),NA(),MATCH($B809&amp;$C809,'Smelter Reference List'!$J:$J,0))</f>
        <v>235</v>
      </c>
      <c r="T809" s="278"/>
      <c r="U809" s="278"/>
      <c r="V809" s="278"/>
      <c r="W809" s="278"/>
    </row>
    <row r="810" spans="1:23" s="269" customFormat="1" ht="20.25">
      <c r="A810" s="267"/>
      <c r="B810" s="275" t="s">
        <v>2438</v>
      </c>
      <c r="C810" s="275" t="s">
        <v>1440</v>
      </c>
      <c r="D810" s="168" t="s">
        <v>1440</v>
      </c>
      <c r="E810" s="168" t="s">
        <v>2294</v>
      </c>
      <c r="F810" s="168" t="s">
        <v>1441</v>
      </c>
      <c r="G810" s="168" t="s">
        <v>3324</v>
      </c>
      <c r="H810" s="292" t="s">
        <v>4623</v>
      </c>
      <c r="I810" s="293" t="s">
        <v>4623</v>
      </c>
      <c r="J810" s="293" t="s">
        <v>4623</v>
      </c>
      <c r="K810" s="290" t="s">
        <v>4623</v>
      </c>
      <c r="L810" s="290" t="s">
        <v>4623</v>
      </c>
      <c r="M810" s="290" t="s">
        <v>4623</v>
      </c>
      <c r="N810" s="290" t="s">
        <v>4623</v>
      </c>
      <c r="O810" s="290" t="s">
        <v>4667</v>
      </c>
      <c r="P810" s="290" t="s">
        <v>999</v>
      </c>
      <c r="Q810" s="291" t="s">
        <v>4623</v>
      </c>
      <c r="R810" s="276"/>
      <c r="S810" s="277">
        <f>IF(OR(C810="",C810=T$4),NA(),MATCH($B810&amp;$C810,'Smelter Reference List'!$J:$J,0))</f>
        <v>236</v>
      </c>
      <c r="T810" s="278"/>
      <c r="U810" s="278"/>
      <c r="V810" s="278"/>
      <c r="W810" s="278"/>
    </row>
    <row r="811" spans="1:23" s="269" customFormat="1" ht="20.25">
      <c r="A811" s="267"/>
      <c r="B811" s="275" t="s">
        <v>2438</v>
      </c>
      <c r="C811" s="275" t="s">
        <v>2838</v>
      </c>
      <c r="D811" s="168" t="s">
        <v>6012</v>
      </c>
      <c r="E811" s="168" t="s">
        <v>2294</v>
      </c>
      <c r="F811" s="168" t="s">
        <v>2839</v>
      </c>
      <c r="G811" s="168" t="s">
        <v>3324</v>
      </c>
      <c r="H811" s="292" t="s">
        <v>4623</v>
      </c>
      <c r="I811" s="293" t="s">
        <v>4623</v>
      </c>
      <c r="J811" s="293" t="s">
        <v>4623</v>
      </c>
      <c r="K811" s="290" t="s">
        <v>4623</v>
      </c>
      <c r="L811" s="290" t="s">
        <v>4623</v>
      </c>
      <c r="M811" s="290" t="s">
        <v>4623</v>
      </c>
      <c r="N811" s="290" t="s">
        <v>4623</v>
      </c>
      <c r="O811" s="290" t="s">
        <v>4623</v>
      </c>
      <c r="P811" s="290" t="s">
        <v>999</v>
      </c>
      <c r="Q811" s="291" t="s">
        <v>4623</v>
      </c>
      <c r="R811" s="276"/>
      <c r="S811" s="277">
        <f>IF(OR(C811="",C811=T$4),NA(),MATCH($B811&amp;$C811,'Smelter Reference List'!$J:$J,0))</f>
        <v>237</v>
      </c>
      <c r="T811" s="278"/>
      <c r="U811" s="278"/>
      <c r="V811" s="278"/>
      <c r="W811" s="278"/>
    </row>
    <row r="812" spans="1:23" s="269" customFormat="1" ht="20.25">
      <c r="A812" s="267"/>
      <c r="B812" s="275" t="s">
        <v>2438</v>
      </c>
      <c r="C812" s="275" t="s">
        <v>2877</v>
      </c>
      <c r="D812" s="168" t="s">
        <v>2877</v>
      </c>
      <c r="E812" s="168" t="s">
        <v>1851</v>
      </c>
      <c r="F812" s="168" t="s">
        <v>2878</v>
      </c>
      <c r="G812" s="168" t="s">
        <v>3324</v>
      </c>
      <c r="H812" s="292" t="s">
        <v>4623</v>
      </c>
      <c r="I812" s="293" t="s">
        <v>4623</v>
      </c>
      <c r="J812" s="293" t="s">
        <v>4623</v>
      </c>
      <c r="K812" s="290" t="s">
        <v>4623</v>
      </c>
      <c r="L812" s="290" t="s">
        <v>4623</v>
      </c>
      <c r="M812" s="290" t="s">
        <v>4623</v>
      </c>
      <c r="N812" s="290" t="s">
        <v>4623</v>
      </c>
      <c r="O812" s="290" t="s">
        <v>6013</v>
      </c>
      <c r="P812" s="290" t="s">
        <v>999</v>
      </c>
      <c r="Q812" s="291" t="s">
        <v>4623</v>
      </c>
      <c r="R812" s="276"/>
      <c r="S812" s="277">
        <f>IF(OR(C812="",C812=T$4),NA(),MATCH($B812&amp;$C812,'Smelter Reference List'!$J:$J,0))</f>
        <v>238</v>
      </c>
      <c r="T812" s="278"/>
      <c r="U812" s="278"/>
      <c r="V812" s="278"/>
      <c r="W812" s="278"/>
    </row>
    <row r="813" spans="1:23" s="269" customFormat="1" ht="20.25">
      <c r="A813" s="267"/>
      <c r="B813" s="275" t="s">
        <v>2438</v>
      </c>
      <c r="C813" s="275" t="s">
        <v>2879</v>
      </c>
      <c r="D813" s="168" t="s">
        <v>6014</v>
      </c>
      <c r="E813" s="168" t="s">
        <v>2308</v>
      </c>
      <c r="F813" s="168" t="s">
        <v>2880</v>
      </c>
      <c r="G813" s="168" t="s">
        <v>3324</v>
      </c>
      <c r="H813" s="292" t="s">
        <v>4623</v>
      </c>
      <c r="I813" s="293" t="s">
        <v>4623</v>
      </c>
      <c r="J813" s="293" t="s">
        <v>4623</v>
      </c>
      <c r="K813" s="290" t="s">
        <v>4623</v>
      </c>
      <c r="L813" s="290" t="s">
        <v>4623</v>
      </c>
      <c r="M813" s="290" t="s">
        <v>4623</v>
      </c>
      <c r="N813" s="290" t="s">
        <v>4623</v>
      </c>
      <c r="O813" s="290" t="s">
        <v>6015</v>
      </c>
      <c r="P813" s="290" t="s">
        <v>999</v>
      </c>
      <c r="Q813" s="291" t="s">
        <v>4623</v>
      </c>
      <c r="R813" s="276"/>
      <c r="S813" s="277">
        <f>IF(OR(C813="",C813=T$4),NA(),MATCH($B813&amp;$C813,'Smelter Reference List'!$J:$J,0))</f>
        <v>239</v>
      </c>
      <c r="T813" s="278"/>
      <c r="U813" s="278"/>
      <c r="V813" s="278"/>
      <c r="W813" s="278"/>
    </row>
    <row r="814" spans="1:23" s="269" customFormat="1" ht="20.25">
      <c r="A814" s="267"/>
      <c r="B814" s="275" t="s">
        <v>2438</v>
      </c>
      <c r="C814" s="275" t="s">
        <v>2881</v>
      </c>
      <c r="D814" s="168" t="s">
        <v>6016</v>
      </c>
      <c r="E814" s="168" t="s">
        <v>2308</v>
      </c>
      <c r="F814" s="168" t="s">
        <v>2882</v>
      </c>
      <c r="G814" s="168" t="s">
        <v>3324</v>
      </c>
      <c r="H814" s="292" t="s">
        <v>4623</v>
      </c>
      <c r="I814" s="293" t="s">
        <v>4623</v>
      </c>
      <c r="J814" s="293" t="s">
        <v>4623</v>
      </c>
      <c r="K814" s="290" t="s">
        <v>4623</v>
      </c>
      <c r="L814" s="290" t="s">
        <v>4623</v>
      </c>
      <c r="M814" s="290" t="s">
        <v>4623</v>
      </c>
      <c r="N814" s="290" t="s">
        <v>4623</v>
      </c>
      <c r="O814" s="290" t="s">
        <v>4657</v>
      </c>
      <c r="P814" s="290" t="s">
        <v>999</v>
      </c>
      <c r="Q814" s="291" t="s">
        <v>4623</v>
      </c>
      <c r="R814" s="276"/>
      <c r="S814" s="277">
        <f>IF(OR(C814="",C814=T$4),NA(),MATCH($B814&amp;$C814,'Smelter Reference List'!$J:$J,0))</f>
        <v>240</v>
      </c>
      <c r="T814" s="278"/>
      <c r="U814" s="278"/>
      <c r="V814" s="278"/>
      <c r="W814" s="278"/>
    </row>
    <row r="815" spans="1:23" s="269" customFormat="1" ht="20.25">
      <c r="A815" s="267"/>
      <c r="B815" s="275" t="s">
        <v>2438</v>
      </c>
      <c r="C815" s="275" t="s">
        <v>2883</v>
      </c>
      <c r="D815" s="168" t="s">
        <v>6017</v>
      </c>
      <c r="E815" s="168" t="s">
        <v>2308</v>
      </c>
      <c r="F815" s="168" t="s">
        <v>2884</v>
      </c>
      <c r="G815" s="168" t="s">
        <v>3324</v>
      </c>
      <c r="H815" s="292" t="s">
        <v>4623</v>
      </c>
      <c r="I815" s="293" t="s">
        <v>4623</v>
      </c>
      <c r="J815" s="293" t="s">
        <v>4623</v>
      </c>
      <c r="K815" s="290" t="s">
        <v>4623</v>
      </c>
      <c r="L815" s="290" t="s">
        <v>4623</v>
      </c>
      <c r="M815" s="290" t="s">
        <v>4623</v>
      </c>
      <c r="N815" s="290" t="s">
        <v>4623</v>
      </c>
      <c r="O815" s="290" t="s">
        <v>6018</v>
      </c>
      <c r="P815" s="290" t="s">
        <v>999</v>
      </c>
      <c r="Q815" s="291" t="s">
        <v>4623</v>
      </c>
      <c r="R815" s="276"/>
      <c r="S815" s="277">
        <f>IF(OR(C815="",C815=T$4),NA(),MATCH($B815&amp;$C815,'Smelter Reference List'!$J:$J,0))</f>
        <v>241</v>
      </c>
      <c r="T815" s="278"/>
      <c r="U815" s="278"/>
      <c r="V815" s="278"/>
      <c r="W815" s="278"/>
    </row>
    <row r="816" spans="1:23" s="269" customFormat="1" ht="20.25">
      <c r="A816" s="267"/>
      <c r="B816" s="275" t="s">
        <v>2438</v>
      </c>
      <c r="C816" s="275" t="s">
        <v>2885</v>
      </c>
      <c r="D816" s="168" t="s">
        <v>2885</v>
      </c>
      <c r="E816" s="168" t="s">
        <v>1867</v>
      </c>
      <c r="F816" s="168" t="s">
        <v>2886</v>
      </c>
      <c r="G816" s="168" t="s">
        <v>3324</v>
      </c>
      <c r="H816" s="292" t="s">
        <v>3637</v>
      </c>
      <c r="I816" s="293" t="s">
        <v>5972</v>
      </c>
      <c r="J816" s="293" t="s">
        <v>6019</v>
      </c>
      <c r="K816" s="290" t="s">
        <v>6020</v>
      </c>
      <c r="L816" s="290" t="s">
        <v>4623</v>
      </c>
      <c r="M816" s="290" t="s">
        <v>6021</v>
      </c>
      <c r="N816" s="290" t="s">
        <v>6022</v>
      </c>
      <c r="O816" s="290" t="s">
        <v>6023</v>
      </c>
      <c r="P816" s="290" t="s">
        <v>999</v>
      </c>
      <c r="Q816" s="291" t="s">
        <v>4623</v>
      </c>
      <c r="R816" s="276"/>
      <c r="S816" s="277">
        <f>IF(OR(C816="",C816=T$4),NA(),MATCH($B816&amp;$C816,'Smelter Reference List'!$J:$J,0))</f>
        <v>242</v>
      </c>
      <c r="T816" s="278"/>
      <c r="U816" s="278"/>
      <c r="V816" s="278"/>
      <c r="W816" s="278"/>
    </row>
    <row r="817" spans="1:23" s="269" customFormat="1" ht="20.25">
      <c r="A817" s="267"/>
      <c r="B817" s="275" t="s">
        <v>2438</v>
      </c>
      <c r="C817" s="275" t="s">
        <v>2887</v>
      </c>
      <c r="D817" s="168" t="s">
        <v>2887</v>
      </c>
      <c r="E817" s="168" t="s">
        <v>2362</v>
      </c>
      <c r="F817" s="168" t="s">
        <v>2888</v>
      </c>
      <c r="G817" s="168" t="s">
        <v>3324</v>
      </c>
      <c r="H817" s="292" t="s">
        <v>4623</v>
      </c>
      <c r="I817" s="293" t="s">
        <v>4623</v>
      </c>
      <c r="J817" s="293" t="s">
        <v>4623</v>
      </c>
      <c r="K817" s="290" t="s">
        <v>4623</v>
      </c>
      <c r="L817" s="290" t="s">
        <v>4623</v>
      </c>
      <c r="M817" s="290" t="s">
        <v>4623</v>
      </c>
      <c r="N817" s="290" t="s">
        <v>4623</v>
      </c>
      <c r="O817" s="290" t="s">
        <v>6024</v>
      </c>
      <c r="P817" s="290" t="s">
        <v>999</v>
      </c>
      <c r="Q817" s="291" t="s">
        <v>4623</v>
      </c>
      <c r="R817" s="276"/>
      <c r="S817" s="277">
        <f>IF(OR(C817="",C817=T$4),NA(),MATCH($B817&amp;$C817,'Smelter Reference List'!$J:$J,0))</f>
        <v>243</v>
      </c>
      <c r="T817" s="278"/>
      <c r="U817" s="278"/>
      <c r="V817" s="278"/>
      <c r="W817" s="278"/>
    </row>
    <row r="818" spans="1:23" s="269" customFormat="1" ht="20.25">
      <c r="A818" s="267"/>
      <c r="B818" s="275" t="s">
        <v>2438</v>
      </c>
      <c r="C818" s="275" t="s">
        <v>2889</v>
      </c>
      <c r="D818" s="168" t="s">
        <v>6025</v>
      </c>
      <c r="E818" s="168" t="s">
        <v>2308</v>
      </c>
      <c r="F818" s="168" t="s">
        <v>2890</v>
      </c>
      <c r="G818" s="168" t="s">
        <v>3324</v>
      </c>
      <c r="H818" s="292" t="s">
        <v>4623</v>
      </c>
      <c r="I818" s="293" t="s">
        <v>4623</v>
      </c>
      <c r="J818" s="293" t="s">
        <v>4623</v>
      </c>
      <c r="K818" s="290" t="s">
        <v>4623</v>
      </c>
      <c r="L818" s="290" t="s">
        <v>4623</v>
      </c>
      <c r="M818" s="290" t="s">
        <v>4623</v>
      </c>
      <c r="N818" s="290" t="s">
        <v>4623</v>
      </c>
      <c r="O818" s="290" t="s">
        <v>6024</v>
      </c>
      <c r="P818" s="290" t="s">
        <v>999</v>
      </c>
      <c r="Q818" s="291" t="s">
        <v>4623</v>
      </c>
      <c r="R818" s="276"/>
      <c r="S818" s="277">
        <f>IF(OR(C818="",C818=T$4),NA(),MATCH($B818&amp;$C818,'Smelter Reference List'!$J:$J,0))</f>
        <v>244</v>
      </c>
      <c r="T818" s="278"/>
      <c r="U818" s="278"/>
      <c r="V818" s="278"/>
      <c r="W818" s="278"/>
    </row>
    <row r="819" spans="1:23" s="269" customFormat="1" ht="20.25">
      <c r="A819" s="267"/>
      <c r="B819" s="275" t="s">
        <v>2438</v>
      </c>
      <c r="C819" s="275" t="s">
        <v>4</v>
      </c>
      <c r="D819" s="168" t="s">
        <v>4</v>
      </c>
      <c r="E819" s="168" t="s">
        <v>2294</v>
      </c>
      <c r="F819" s="168" t="s">
        <v>776</v>
      </c>
      <c r="G819" s="168" t="s">
        <v>3324</v>
      </c>
      <c r="H819" s="292" t="s">
        <v>4623</v>
      </c>
      <c r="I819" s="293" t="s">
        <v>4623</v>
      </c>
      <c r="J819" s="293" t="s">
        <v>4623</v>
      </c>
      <c r="K819" s="290" t="s">
        <v>4623</v>
      </c>
      <c r="L819" s="290" t="s">
        <v>4623</v>
      </c>
      <c r="M819" s="290" t="s">
        <v>4623</v>
      </c>
      <c r="N819" s="290" t="s">
        <v>4623</v>
      </c>
      <c r="O819" s="290" t="s">
        <v>4667</v>
      </c>
      <c r="P819" s="290" t="s">
        <v>999</v>
      </c>
      <c r="Q819" s="291" t="s">
        <v>4623</v>
      </c>
      <c r="R819" s="276"/>
      <c r="S819" s="277">
        <f>IF(OR(C819="",C819=T$4),NA(),MATCH($B819&amp;$C819,'Smelter Reference List'!$J:$J,0))</f>
        <v>245</v>
      </c>
      <c r="T819" s="278"/>
      <c r="U819" s="278"/>
      <c r="V819" s="278"/>
      <c r="W819" s="278"/>
    </row>
    <row r="820" spans="1:23" s="269" customFormat="1" ht="20.25">
      <c r="A820" s="267"/>
      <c r="B820" s="275" t="s">
        <v>2438</v>
      </c>
      <c r="C820" s="275" t="s">
        <v>2423</v>
      </c>
      <c r="D820" s="168" t="s">
        <v>3589</v>
      </c>
      <c r="E820" s="168" t="s">
        <v>1867</v>
      </c>
      <c r="F820" s="168" t="s">
        <v>1442</v>
      </c>
      <c r="G820" s="168" t="s">
        <v>3324</v>
      </c>
      <c r="H820" s="292" t="s">
        <v>4623</v>
      </c>
      <c r="I820" s="293" t="s">
        <v>4623</v>
      </c>
      <c r="J820" s="293" t="s">
        <v>4623</v>
      </c>
      <c r="K820" s="290" t="s">
        <v>4623</v>
      </c>
      <c r="L820" s="290" t="s">
        <v>4623</v>
      </c>
      <c r="M820" s="290" t="s">
        <v>4623</v>
      </c>
      <c r="N820" s="290" t="s">
        <v>4623</v>
      </c>
      <c r="O820" s="290" t="s">
        <v>4671</v>
      </c>
      <c r="P820" s="290" t="s">
        <v>999</v>
      </c>
      <c r="Q820" s="291" t="s">
        <v>4623</v>
      </c>
      <c r="R820" s="276"/>
      <c r="S820" s="277">
        <f>IF(OR(C820="",C820=T$4),NA(),MATCH($B820&amp;$C820,'Smelter Reference List'!$J:$J,0))</f>
        <v>246</v>
      </c>
      <c r="T820" s="278"/>
      <c r="U820" s="278"/>
      <c r="V820" s="278"/>
      <c r="W820" s="278"/>
    </row>
    <row r="821" spans="1:23" s="269" customFormat="1" ht="20.25">
      <c r="A821" s="267"/>
      <c r="B821" s="275" t="s">
        <v>2438</v>
      </c>
      <c r="C821" s="275" t="s">
        <v>5</v>
      </c>
      <c r="D821" s="168" t="s">
        <v>6026</v>
      </c>
      <c r="E821" s="168" t="s">
        <v>2294</v>
      </c>
      <c r="F821" s="168" t="s">
        <v>1443</v>
      </c>
      <c r="G821" s="168" t="s">
        <v>3324</v>
      </c>
      <c r="H821" s="292" t="s">
        <v>4623</v>
      </c>
      <c r="I821" s="293" t="s">
        <v>4623</v>
      </c>
      <c r="J821" s="293" t="s">
        <v>4623</v>
      </c>
      <c r="K821" s="290" t="s">
        <v>4623</v>
      </c>
      <c r="L821" s="290" t="s">
        <v>4623</v>
      </c>
      <c r="M821" s="290" t="s">
        <v>4623</v>
      </c>
      <c r="N821" s="290" t="s">
        <v>4623</v>
      </c>
      <c r="O821" s="290" t="s">
        <v>4667</v>
      </c>
      <c r="P821" s="290" t="s">
        <v>999</v>
      </c>
      <c r="Q821" s="291" t="s">
        <v>4623</v>
      </c>
      <c r="R821" s="276"/>
      <c r="S821" s="277">
        <f>IF(OR(C821="",C821=T$4),NA(),MATCH($B821&amp;$C821,'Smelter Reference List'!$J:$J,0))</f>
        <v>249</v>
      </c>
      <c r="T821" s="278"/>
      <c r="U821" s="278"/>
      <c r="V821" s="278"/>
      <c r="W821" s="278"/>
    </row>
    <row r="822" spans="1:23" s="269" customFormat="1" ht="20.25">
      <c r="A822" s="267"/>
      <c r="B822" s="275" t="s">
        <v>2438</v>
      </c>
      <c r="C822" s="275" t="s">
        <v>79</v>
      </c>
      <c r="D822" s="168" t="s">
        <v>79</v>
      </c>
      <c r="E822" s="168" t="s">
        <v>2294</v>
      </c>
      <c r="F822" s="168" t="s">
        <v>1444</v>
      </c>
      <c r="G822" s="168" t="s">
        <v>3324</v>
      </c>
      <c r="H822" s="292" t="s">
        <v>4623</v>
      </c>
      <c r="I822" s="293" t="s">
        <v>4623</v>
      </c>
      <c r="J822" s="293" t="s">
        <v>4623</v>
      </c>
      <c r="K822" s="290" t="s">
        <v>4623</v>
      </c>
      <c r="L822" s="290" t="s">
        <v>4623</v>
      </c>
      <c r="M822" s="290" t="s">
        <v>4623</v>
      </c>
      <c r="N822" s="290" t="s">
        <v>4623</v>
      </c>
      <c r="O822" s="290" t="s">
        <v>4667</v>
      </c>
      <c r="P822" s="290" t="s">
        <v>999</v>
      </c>
      <c r="Q822" s="291" t="s">
        <v>4623</v>
      </c>
      <c r="R822" s="276"/>
      <c r="S822" s="277">
        <f>IF(OR(C822="",C822=T$4),NA(),MATCH($B822&amp;$C822,'Smelter Reference List'!$J:$J,0))</f>
        <v>250</v>
      </c>
      <c r="T822" s="278"/>
      <c r="U822" s="278"/>
      <c r="V822" s="278"/>
      <c r="W822" s="278"/>
    </row>
    <row r="823" spans="1:23" s="269" customFormat="1" ht="20.25">
      <c r="A823" s="267"/>
      <c r="B823" s="275" t="s">
        <v>2438</v>
      </c>
      <c r="C823" s="275" t="s">
        <v>4437</v>
      </c>
      <c r="D823" s="168" t="s">
        <v>4437</v>
      </c>
      <c r="E823" s="168" t="s">
        <v>2294</v>
      </c>
      <c r="F823" s="168" t="s">
        <v>2841</v>
      </c>
      <c r="G823" s="168" t="s">
        <v>3324</v>
      </c>
      <c r="H823" s="292" t="s">
        <v>4623</v>
      </c>
      <c r="I823" s="293" t="s">
        <v>4623</v>
      </c>
      <c r="J823" s="293" t="s">
        <v>4623</v>
      </c>
      <c r="K823" s="290" t="s">
        <v>4623</v>
      </c>
      <c r="L823" s="290" t="s">
        <v>4623</v>
      </c>
      <c r="M823" s="290" t="s">
        <v>4623</v>
      </c>
      <c r="N823" s="290" t="s">
        <v>4623</v>
      </c>
      <c r="O823" s="290" t="s">
        <v>4645</v>
      </c>
      <c r="P823" s="290" t="s">
        <v>999</v>
      </c>
      <c r="Q823" s="291" t="s">
        <v>4623</v>
      </c>
      <c r="R823" s="276"/>
      <c r="S823" s="277">
        <f>IF(OR(C823="",C823=T$4),NA(),MATCH($B823&amp;$C823,'Smelter Reference List'!$J:$J,0))</f>
        <v>251</v>
      </c>
      <c r="T823" s="278"/>
      <c r="U823" s="278"/>
      <c r="V823" s="278"/>
      <c r="W823" s="278"/>
    </row>
    <row r="824" spans="1:23" s="269" customFormat="1" ht="20.25">
      <c r="A824" s="267"/>
      <c r="B824" s="275" t="s">
        <v>2438</v>
      </c>
      <c r="C824" s="275" t="s">
        <v>2891</v>
      </c>
      <c r="D824" s="168" t="s">
        <v>6027</v>
      </c>
      <c r="E824" s="168" t="s">
        <v>2388</v>
      </c>
      <c r="F824" s="168" t="s">
        <v>2892</v>
      </c>
      <c r="G824" s="168" t="s">
        <v>4623</v>
      </c>
      <c r="H824" s="292" t="s">
        <v>6028</v>
      </c>
      <c r="I824" s="293" t="s">
        <v>6029</v>
      </c>
      <c r="J824" s="293" t="s">
        <v>4623</v>
      </c>
      <c r="K824" s="290" t="s">
        <v>4623</v>
      </c>
      <c r="L824" s="290" t="s">
        <v>4623</v>
      </c>
      <c r="M824" s="290" t="s">
        <v>6030</v>
      </c>
      <c r="N824" s="290" t="s">
        <v>4671</v>
      </c>
      <c r="O824" s="290" t="s">
        <v>6031</v>
      </c>
      <c r="P824" s="290" t="s">
        <v>999</v>
      </c>
      <c r="Q824" s="291" t="s">
        <v>4623</v>
      </c>
      <c r="R824" s="276"/>
      <c r="S824" s="277">
        <f>IF(OR(C824="",C824=T$4),NA(),MATCH($B824&amp;$C824,'Smelter Reference List'!$J:$J,0))</f>
        <v>252</v>
      </c>
      <c r="T824" s="278"/>
      <c r="U824" s="278"/>
      <c r="V824" s="278"/>
      <c r="W824" s="278"/>
    </row>
    <row r="825" spans="1:23" s="269" customFormat="1" ht="20.25">
      <c r="A825" s="267"/>
      <c r="B825" s="275" t="s">
        <v>2438</v>
      </c>
      <c r="C825" s="275" t="s">
        <v>2908</v>
      </c>
      <c r="D825" s="168" t="s">
        <v>6032</v>
      </c>
      <c r="E825" s="168" t="s">
        <v>1867</v>
      </c>
      <c r="F825" s="168" t="s">
        <v>2909</v>
      </c>
      <c r="G825" s="168" t="s">
        <v>3324</v>
      </c>
      <c r="H825" s="292" t="s">
        <v>4623</v>
      </c>
      <c r="I825" s="293" t="s">
        <v>4623</v>
      </c>
      <c r="J825" s="293" t="s">
        <v>4623</v>
      </c>
      <c r="K825" s="290" t="s">
        <v>4623</v>
      </c>
      <c r="L825" s="290" t="s">
        <v>4623</v>
      </c>
      <c r="M825" s="290" t="s">
        <v>4623</v>
      </c>
      <c r="N825" s="290" t="s">
        <v>4623</v>
      </c>
      <c r="O825" s="290" t="s">
        <v>4726</v>
      </c>
      <c r="P825" s="290" t="s">
        <v>999</v>
      </c>
      <c r="Q825" s="291" t="s">
        <v>4623</v>
      </c>
      <c r="R825" s="276"/>
      <c r="S825" s="277">
        <f>IF(OR(C825="",C825=T$4),NA(),MATCH($B825&amp;$C825,'Smelter Reference List'!$J:$J,0))</f>
        <v>253</v>
      </c>
      <c r="T825" s="278"/>
      <c r="U825" s="278"/>
      <c r="V825" s="278"/>
      <c r="W825" s="278"/>
    </row>
    <row r="826" spans="1:23" s="269" customFormat="1" ht="20.25">
      <c r="A826" s="267"/>
      <c r="B826" s="275" t="s">
        <v>2438</v>
      </c>
      <c r="C826" s="275" t="s">
        <v>4405</v>
      </c>
      <c r="D826" s="168" t="s">
        <v>6033</v>
      </c>
      <c r="E826" s="168" t="s">
        <v>2294</v>
      </c>
      <c r="F826" s="168" t="s">
        <v>1445</v>
      </c>
      <c r="G826" s="168" t="s">
        <v>3324</v>
      </c>
      <c r="H826" s="292" t="s">
        <v>4623</v>
      </c>
      <c r="I826" s="293" t="s">
        <v>4623</v>
      </c>
      <c r="J826" s="293" t="s">
        <v>4623</v>
      </c>
      <c r="K826" s="290" t="s">
        <v>4623</v>
      </c>
      <c r="L826" s="290" t="s">
        <v>4623</v>
      </c>
      <c r="M826" s="290" t="s">
        <v>4623</v>
      </c>
      <c r="N826" s="290" t="s">
        <v>4623</v>
      </c>
      <c r="O826" s="290" t="s">
        <v>4667</v>
      </c>
      <c r="P826" s="290" t="s">
        <v>999</v>
      </c>
      <c r="Q826" s="291" t="s">
        <v>4623</v>
      </c>
      <c r="R826" s="276"/>
      <c r="S826" s="277">
        <f>IF(OR(C826="",C826=T$4),NA(),MATCH($B826&amp;$C826,'Smelter Reference List'!$J:$J,0))</f>
        <v>254</v>
      </c>
      <c r="T826" s="278"/>
      <c r="U826" s="278"/>
      <c r="V826" s="278"/>
      <c r="W826" s="278"/>
    </row>
    <row r="827" spans="1:23" s="269" customFormat="1" ht="20.25">
      <c r="A827" s="267"/>
      <c r="B827" s="275" t="s">
        <v>2438</v>
      </c>
      <c r="C827" s="275" t="s">
        <v>80</v>
      </c>
      <c r="D827" s="168" t="s">
        <v>6034</v>
      </c>
      <c r="E827" s="168" t="s">
        <v>2283</v>
      </c>
      <c r="F827" s="168" t="s">
        <v>1446</v>
      </c>
      <c r="G827" s="168" t="s">
        <v>3324</v>
      </c>
      <c r="H827" s="292" t="s">
        <v>4623</v>
      </c>
      <c r="I827" s="293" t="s">
        <v>4623</v>
      </c>
      <c r="J827" s="293" t="s">
        <v>4623</v>
      </c>
      <c r="K827" s="290" t="s">
        <v>4623</v>
      </c>
      <c r="L827" s="290" t="s">
        <v>4623</v>
      </c>
      <c r="M827" s="290" t="s">
        <v>4623</v>
      </c>
      <c r="N827" s="290" t="s">
        <v>4623</v>
      </c>
      <c r="O827" s="290" t="s">
        <v>4638</v>
      </c>
      <c r="P827" s="290" t="s">
        <v>999</v>
      </c>
      <c r="Q827" s="291" t="s">
        <v>4623</v>
      </c>
      <c r="R827" s="276"/>
      <c r="S827" s="277">
        <f>IF(OR(C827="",C827=T$4),NA(),MATCH($B827&amp;$C827,'Smelter Reference List'!$J:$J,0))</f>
        <v>255</v>
      </c>
      <c r="T827" s="278"/>
      <c r="U827" s="278"/>
      <c r="V827" s="278"/>
      <c r="W827" s="278"/>
    </row>
    <row r="828" spans="1:23" s="269" customFormat="1" ht="20.25">
      <c r="A828" s="267"/>
      <c r="B828" s="275" t="s">
        <v>2438</v>
      </c>
      <c r="C828" s="275" t="s">
        <v>3596</v>
      </c>
      <c r="D828" s="168" t="s">
        <v>6035</v>
      </c>
      <c r="E828" s="168" t="s">
        <v>2352</v>
      </c>
      <c r="F828" s="168" t="s">
        <v>1447</v>
      </c>
      <c r="G828" s="168" t="s">
        <v>3324</v>
      </c>
      <c r="H828" s="292" t="s">
        <v>6036</v>
      </c>
      <c r="I828" s="293" t="s">
        <v>6036</v>
      </c>
      <c r="J828" s="293" t="s">
        <v>6036</v>
      </c>
      <c r="K828" s="290" t="s">
        <v>4623</v>
      </c>
      <c r="L828" s="290" t="s">
        <v>4623</v>
      </c>
      <c r="M828" s="290" t="s">
        <v>4623</v>
      </c>
      <c r="N828" s="290" t="s">
        <v>4623</v>
      </c>
      <c r="O828" s="290" t="s">
        <v>4623</v>
      </c>
      <c r="P828" s="290" t="s">
        <v>999</v>
      </c>
      <c r="Q828" s="291" t="s">
        <v>4623</v>
      </c>
      <c r="R828" s="276"/>
      <c r="S828" s="277">
        <f>IF(OR(C828="",C828=T$4),NA(),MATCH($B828&amp;$C828,'Smelter Reference List'!$J:$J,0))</f>
        <v>256</v>
      </c>
      <c r="T828" s="278"/>
      <c r="U828" s="278"/>
      <c r="V828" s="278"/>
      <c r="W828" s="278"/>
    </row>
    <row r="829" spans="1:23" s="269" customFormat="1" ht="20.25">
      <c r="A829" s="267"/>
      <c r="B829" s="275" t="s">
        <v>2438</v>
      </c>
      <c r="C829" s="275" t="s">
        <v>2064</v>
      </c>
      <c r="D829" s="168" t="s">
        <v>2064</v>
      </c>
      <c r="E829" s="168" t="s">
        <v>2283</v>
      </c>
      <c r="F829" s="168" t="s">
        <v>1448</v>
      </c>
      <c r="G829" s="168" t="s">
        <v>3324</v>
      </c>
      <c r="H829" s="292" t="s">
        <v>6037</v>
      </c>
      <c r="I829" s="293" t="s">
        <v>3597</v>
      </c>
      <c r="J829" s="293" t="s">
        <v>3598</v>
      </c>
      <c r="K829" s="290" t="s">
        <v>6038</v>
      </c>
      <c r="L829" s="290" t="s">
        <v>4623</v>
      </c>
      <c r="M829" s="290" t="s">
        <v>4623</v>
      </c>
      <c r="N829" s="290" t="s">
        <v>4623</v>
      </c>
      <c r="O829" s="290" t="s">
        <v>4638</v>
      </c>
      <c r="P829" s="290" t="s">
        <v>999</v>
      </c>
      <c r="Q829" s="291" t="s">
        <v>4623</v>
      </c>
      <c r="R829" s="276"/>
      <c r="S829" s="277">
        <f>IF(OR(C829="",C829=T$4),NA(),MATCH($B829&amp;$C829,'Smelter Reference List'!$J:$J,0))</f>
        <v>258</v>
      </c>
      <c r="T829" s="278"/>
      <c r="U829" s="278"/>
      <c r="V829" s="278"/>
      <c r="W829" s="278"/>
    </row>
    <row r="830" spans="1:23" s="269" customFormat="1" ht="20.25">
      <c r="A830" s="267"/>
      <c r="B830" s="275" t="s">
        <v>2438</v>
      </c>
      <c r="C830" s="275" t="s">
        <v>2421</v>
      </c>
      <c r="D830" s="168" t="s">
        <v>2421</v>
      </c>
      <c r="E830" s="168" t="s">
        <v>2362</v>
      </c>
      <c r="F830" s="168" t="s">
        <v>1449</v>
      </c>
      <c r="G830" s="168" t="s">
        <v>3324</v>
      </c>
      <c r="H830" s="292" t="s">
        <v>6039</v>
      </c>
      <c r="I830" s="293" t="s">
        <v>6040</v>
      </c>
      <c r="J830" s="293" t="s">
        <v>3600</v>
      </c>
      <c r="K830" s="290" t="s">
        <v>4623</v>
      </c>
      <c r="L830" s="290" t="s">
        <v>4623</v>
      </c>
      <c r="M830" s="290" t="s">
        <v>4623</v>
      </c>
      <c r="N830" s="290" t="s">
        <v>6041</v>
      </c>
      <c r="O830" s="290" t="s">
        <v>6042</v>
      </c>
      <c r="P830" s="290" t="s">
        <v>998</v>
      </c>
      <c r="Q830" s="291" t="s">
        <v>4623</v>
      </c>
      <c r="R830" s="276"/>
      <c r="S830" s="277">
        <f>IF(OR(C830="",C830=T$4),NA(),MATCH($B830&amp;$C830,'Smelter Reference List'!$J:$J,0))</f>
        <v>259</v>
      </c>
      <c r="T830" s="278"/>
      <c r="U830" s="278"/>
      <c r="V830" s="278"/>
      <c r="W830" s="278"/>
    </row>
    <row r="831" spans="1:23" s="269" customFormat="1" ht="20.25">
      <c r="A831" s="267"/>
      <c r="B831" s="275" t="s">
        <v>2438</v>
      </c>
      <c r="C831" s="275" t="s">
        <v>81</v>
      </c>
      <c r="D831" s="168" t="s">
        <v>81</v>
      </c>
      <c r="E831" s="168" t="s">
        <v>2319</v>
      </c>
      <c r="F831" s="168" t="s">
        <v>1450</v>
      </c>
      <c r="G831" s="168" t="s">
        <v>3324</v>
      </c>
      <c r="H831" s="292" t="s">
        <v>4623</v>
      </c>
      <c r="I831" s="293" t="s">
        <v>4623</v>
      </c>
      <c r="J831" s="293" t="s">
        <v>4623</v>
      </c>
      <c r="K831" s="290" t="s">
        <v>4623</v>
      </c>
      <c r="L831" s="290" t="s">
        <v>4623</v>
      </c>
      <c r="M831" s="290" t="s">
        <v>4623</v>
      </c>
      <c r="N831" s="290" t="s">
        <v>4623</v>
      </c>
      <c r="O831" s="290" t="s">
        <v>6043</v>
      </c>
      <c r="P831" s="290" t="s">
        <v>999</v>
      </c>
      <c r="Q831" s="291" t="s">
        <v>4623</v>
      </c>
      <c r="R831" s="276"/>
      <c r="S831" s="277">
        <f>IF(OR(C831="",C831=T$4),NA(),MATCH($B831&amp;$C831,'Smelter Reference List'!$J:$J,0))</f>
        <v>260</v>
      </c>
      <c r="T831" s="278"/>
      <c r="U831" s="278"/>
      <c r="V831" s="278"/>
      <c r="W831" s="278"/>
    </row>
    <row r="832" spans="1:23" s="269" customFormat="1" ht="20.25">
      <c r="A832" s="267"/>
      <c r="B832" s="275" t="s">
        <v>2438</v>
      </c>
      <c r="C832" s="275" t="s">
        <v>2893</v>
      </c>
      <c r="D832" s="168" t="s">
        <v>6044</v>
      </c>
      <c r="E832" s="168" t="s">
        <v>2268</v>
      </c>
      <c r="F832" s="168" t="s">
        <v>2894</v>
      </c>
      <c r="G832" s="168" t="s">
        <v>3324</v>
      </c>
      <c r="H832" s="292" t="s">
        <v>4623</v>
      </c>
      <c r="I832" s="293" t="s">
        <v>4623</v>
      </c>
      <c r="J832" s="293" t="s">
        <v>4623</v>
      </c>
      <c r="K832" s="290" t="s">
        <v>4623</v>
      </c>
      <c r="L832" s="290" t="s">
        <v>4623</v>
      </c>
      <c r="M832" s="290" t="s">
        <v>4623</v>
      </c>
      <c r="N832" s="290" t="s">
        <v>4623</v>
      </c>
      <c r="O832" s="290" t="s">
        <v>6045</v>
      </c>
      <c r="P832" s="290" t="s">
        <v>999</v>
      </c>
      <c r="Q832" s="291" t="s">
        <v>4623</v>
      </c>
      <c r="R832" s="276"/>
      <c r="S832" s="277">
        <f>IF(OR(C832="",C832=T$4),NA(),MATCH($B832&amp;$C832,'Smelter Reference List'!$J:$J,0))</f>
        <v>262</v>
      </c>
      <c r="T832" s="278"/>
      <c r="U832" s="278"/>
      <c r="V832" s="278"/>
      <c r="W832" s="278"/>
    </row>
    <row r="833" spans="1:23" s="269" customFormat="1" ht="20.25">
      <c r="A833" s="267"/>
      <c r="B833" s="275" t="s">
        <v>2438</v>
      </c>
      <c r="C833" s="275" t="s">
        <v>2895</v>
      </c>
      <c r="D833" s="168" t="s">
        <v>6046</v>
      </c>
      <c r="E833" s="168" t="s">
        <v>2268</v>
      </c>
      <c r="F833" s="168" t="s">
        <v>2896</v>
      </c>
      <c r="G833" s="168" t="s">
        <v>3324</v>
      </c>
      <c r="H833" s="292" t="s">
        <v>4623</v>
      </c>
      <c r="I833" s="293" t="s">
        <v>4623</v>
      </c>
      <c r="J833" s="293" t="s">
        <v>4623</v>
      </c>
      <c r="K833" s="290" t="s">
        <v>4623</v>
      </c>
      <c r="L833" s="290" t="s">
        <v>4623</v>
      </c>
      <c r="M833" s="290" t="s">
        <v>4623</v>
      </c>
      <c r="N833" s="290" t="s">
        <v>4623</v>
      </c>
      <c r="O833" s="290" t="s">
        <v>5997</v>
      </c>
      <c r="P833" s="290" t="s">
        <v>999</v>
      </c>
      <c r="Q833" s="291" t="s">
        <v>4623</v>
      </c>
      <c r="R833" s="276"/>
      <c r="S833" s="277">
        <f>IF(OR(C833="",C833=T$4),NA(),MATCH($B833&amp;$C833,'Smelter Reference List'!$J:$J,0))</f>
        <v>263</v>
      </c>
      <c r="T833" s="278"/>
      <c r="U833" s="278"/>
      <c r="V833" s="278"/>
      <c r="W833" s="278"/>
    </row>
    <row r="834" spans="1:23" s="269" customFormat="1" ht="20.25">
      <c r="A834" s="267"/>
      <c r="B834" s="275" t="s">
        <v>2438</v>
      </c>
      <c r="C834" s="275" t="s">
        <v>1572</v>
      </c>
      <c r="D834" s="168" t="s">
        <v>6047</v>
      </c>
      <c r="E834" s="168" t="s">
        <v>1867</v>
      </c>
      <c r="F834" s="168" t="s">
        <v>1452</v>
      </c>
      <c r="G834" s="168" t="s">
        <v>3324</v>
      </c>
      <c r="H834" s="292" t="s">
        <v>4623</v>
      </c>
      <c r="I834" s="293" t="s">
        <v>4623</v>
      </c>
      <c r="J834" s="293" t="s">
        <v>4623</v>
      </c>
      <c r="K834" s="290" t="s">
        <v>4623</v>
      </c>
      <c r="L834" s="290" t="s">
        <v>4623</v>
      </c>
      <c r="M834" s="290" t="s">
        <v>4623</v>
      </c>
      <c r="N834" s="290" t="s">
        <v>4623</v>
      </c>
      <c r="O834" s="290" t="s">
        <v>4628</v>
      </c>
      <c r="P834" s="290" t="s">
        <v>999</v>
      </c>
      <c r="Q834" s="291" t="s">
        <v>4623</v>
      </c>
      <c r="R834" s="276"/>
      <c r="S834" s="277">
        <f>IF(OR(C834="",C834=T$4),NA(),MATCH($B834&amp;$C834,'Smelter Reference List'!$J:$J,0))</f>
        <v>264</v>
      </c>
      <c r="T834" s="278"/>
      <c r="U834" s="278"/>
      <c r="V834" s="278"/>
      <c r="W834" s="278"/>
    </row>
    <row r="835" spans="1:23" s="269" customFormat="1" ht="20.25">
      <c r="A835" s="267"/>
      <c r="B835" s="275" t="s">
        <v>2438</v>
      </c>
      <c r="C835" s="275" t="s">
        <v>2424</v>
      </c>
      <c r="D835" s="168" t="s">
        <v>5192</v>
      </c>
      <c r="E835" s="168" t="s">
        <v>2294</v>
      </c>
      <c r="F835" s="168" t="s">
        <v>1453</v>
      </c>
      <c r="G835" s="168" t="s">
        <v>3324</v>
      </c>
      <c r="H835" s="292" t="s">
        <v>4623</v>
      </c>
      <c r="I835" s="293" t="s">
        <v>4623</v>
      </c>
      <c r="J835" s="293" t="s">
        <v>4623</v>
      </c>
      <c r="K835" s="290" t="s">
        <v>4623</v>
      </c>
      <c r="L835" s="290" t="s">
        <v>4623</v>
      </c>
      <c r="M835" s="290" t="s">
        <v>4623</v>
      </c>
      <c r="N835" s="290" t="s">
        <v>4623</v>
      </c>
      <c r="O835" s="290" t="s">
        <v>4623</v>
      </c>
      <c r="P835" s="290" t="s">
        <v>999</v>
      </c>
      <c r="Q835" s="291" t="s">
        <v>4623</v>
      </c>
      <c r="R835" s="276"/>
      <c r="S835" s="277">
        <f>IF(OR(C835="",C835=T$4),NA(),MATCH($B835&amp;$C835,'Smelter Reference List'!$J:$J,0))</f>
        <v>266</v>
      </c>
      <c r="T835" s="278"/>
      <c r="U835" s="278"/>
      <c r="V835" s="278"/>
      <c r="W835" s="278"/>
    </row>
    <row r="836" spans="1:23" s="269" customFormat="1" ht="20.25">
      <c r="A836" s="267"/>
      <c r="B836" s="275" t="s">
        <v>2438</v>
      </c>
      <c r="C836" s="275" t="s">
        <v>3831</v>
      </c>
      <c r="D836" s="168" t="s">
        <v>6048</v>
      </c>
      <c r="E836" s="168" t="s">
        <v>2267</v>
      </c>
      <c r="F836" s="168" t="s">
        <v>4623</v>
      </c>
      <c r="G836" s="168" t="s">
        <v>4623</v>
      </c>
      <c r="H836" s="292" t="s">
        <v>4623</v>
      </c>
      <c r="I836" s="293" t="s">
        <v>4623</v>
      </c>
      <c r="J836" s="293" t="s">
        <v>4623</v>
      </c>
      <c r="K836" s="290" t="s">
        <v>4623</v>
      </c>
      <c r="L836" s="290" t="s">
        <v>4623</v>
      </c>
      <c r="M836" s="290" t="s">
        <v>4623</v>
      </c>
      <c r="N836" s="290" t="s">
        <v>4623</v>
      </c>
      <c r="O836" s="290" t="s">
        <v>4623</v>
      </c>
      <c r="P836" s="290" t="s">
        <v>999</v>
      </c>
      <c r="Q836" s="291" t="s">
        <v>4623</v>
      </c>
      <c r="R836" s="276"/>
      <c r="S836" s="277">
        <f>IF(OR(C836="",C836=T$4),NA(),MATCH($B836&amp;$C836,'Smelter Reference List'!$J:$J,0))</f>
        <v>283</v>
      </c>
      <c r="T836" s="278"/>
      <c r="U836" s="278"/>
      <c r="V836" s="278"/>
      <c r="W836" s="278"/>
    </row>
    <row r="837" spans="1:23" s="269" customFormat="1" ht="20.25">
      <c r="A837" s="267"/>
      <c r="B837" s="275" t="s">
        <v>2438</v>
      </c>
      <c r="C837" s="275" t="s">
        <v>3831</v>
      </c>
      <c r="D837" s="168" t="s">
        <v>6049</v>
      </c>
      <c r="E837" s="168" t="s">
        <v>2267</v>
      </c>
      <c r="F837" s="168" t="s">
        <v>4623</v>
      </c>
      <c r="G837" s="168" t="s">
        <v>4623</v>
      </c>
      <c r="H837" s="292" t="s">
        <v>6050</v>
      </c>
      <c r="I837" s="293" t="s">
        <v>4830</v>
      </c>
      <c r="J837" s="293" t="s">
        <v>3529</v>
      </c>
      <c r="K837" s="290" t="s">
        <v>6051</v>
      </c>
      <c r="L837" s="290" t="s">
        <v>6052</v>
      </c>
      <c r="M837" s="290" t="s">
        <v>4623</v>
      </c>
      <c r="N837" s="290" t="s">
        <v>6053</v>
      </c>
      <c r="O837" s="290" t="s">
        <v>4834</v>
      </c>
      <c r="P837" s="290" t="s">
        <v>999</v>
      </c>
      <c r="Q837" s="291" t="s">
        <v>4623</v>
      </c>
      <c r="R837" s="276"/>
      <c r="S837" s="277">
        <f>IF(OR(C837="",C837=T$4),NA(),MATCH($B837&amp;$C837,'Smelter Reference List'!$J:$J,0))</f>
        <v>283</v>
      </c>
      <c r="T837" s="278"/>
      <c r="U837" s="278"/>
      <c r="V837" s="278"/>
      <c r="W837" s="278"/>
    </row>
    <row r="838" spans="1:23" s="269" customFormat="1" ht="20.25">
      <c r="A838" s="267"/>
      <c r="B838" s="275" t="s">
        <v>2438</v>
      </c>
      <c r="C838" s="275" t="s">
        <v>3831</v>
      </c>
      <c r="D838" s="168" t="s">
        <v>6054</v>
      </c>
      <c r="E838" s="168" t="s">
        <v>2268</v>
      </c>
      <c r="F838" s="168" t="s">
        <v>4623</v>
      </c>
      <c r="G838" s="168" t="s">
        <v>4623</v>
      </c>
      <c r="H838" s="292" t="s">
        <v>4623</v>
      </c>
      <c r="I838" s="293" t="s">
        <v>4623</v>
      </c>
      <c r="J838" s="293" t="s">
        <v>4623</v>
      </c>
      <c r="K838" s="290" t="s">
        <v>4623</v>
      </c>
      <c r="L838" s="290" t="s">
        <v>4623</v>
      </c>
      <c r="M838" s="290" t="s">
        <v>4623</v>
      </c>
      <c r="N838" s="290" t="s">
        <v>4623</v>
      </c>
      <c r="O838" s="290" t="s">
        <v>4623</v>
      </c>
      <c r="P838" s="290" t="s">
        <v>999</v>
      </c>
      <c r="Q838" s="291" t="s">
        <v>4623</v>
      </c>
      <c r="R838" s="276"/>
      <c r="S838" s="277">
        <f>IF(OR(C838="",C838=T$4),NA(),MATCH($B838&amp;$C838,'Smelter Reference List'!$J:$J,0))</f>
        <v>283</v>
      </c>
      <c r="T838" s="278"/>
      <c r="U838" s="278"/>
      <c r="V838" s="278"/>
      <c r="W838" s="278"/>
    </row>
    <row r="839" spans="1:23" s="269" customFormat="1" ht="20.25">
      <c r="A839" s="267"/>
      <c r="B839" s="275" t="s">
        <v>2438</v>
      </c>
      <c r="C839" s="275" t="s">
        <v>3831</v>
      </c>
      <c r="D839" s="168" t="s">
        <v>6055</v>
      </c>
      <c r="E839" s="168" t="s">
        <v>2268</v>
      </c>
      <c r="F839" s="168" t="s">
        <v>6056</v>
      </c>
      <c r="G839" s="168" t="s">
        <v>3324</v>
      </c>
      <c r="H839" s="292" t="s">
        <v>6057</v>
      </c>
      <c r="I839" s="293" t="s">
        <v>3628</v>
      </c>
      <c r="J839" s="293" t="s">
        <v>6045</v>
      </c>
      <c r="K839" s="290" t="s">
        <v>6058</v>
      </c>
      <c r="L839" s="290" t="s">
        <v>6059</v>
      </c>
      <c r="M839" s="290" t="s">
        <v>4623</v>
      </c>
      <c r="N839" s="290" t="s">
        <v>4623</v>
      </c>
      <c r="O839" s="290" t="s">
        <v>6060</v>
      </c>
      <c r="P839" s="290" t="s">
        <v>999</v>
      </c>
      <c r="Q839" s="291" t="s">
        <v>4623</v>
      </c>
      <c r="R839" s="276"/>
      <c r="S839" s="277">
        <f>IF(OR(C839="",C839=T$4),NA(),MATCH($B839&amp;$C839,'Smelter Reference List'!$J:$J,0))</f>
        <v>283</v>
      </c>
      <c r="T839" s="278"/>
      <c r="U839" s="278"/>
      <c r="V839" s="278"/>
      <c r="W839" s="278"/>
    </row>
    <row r="840" spans="1:23" s="269" customFormat="1" ht="20.25">
      <c r="A840" s="267"/>
      <c r="B840" s="275" t="s">
        <v>2438</v>
      </c>
      <c r="C840" s="275" t="s">
        <v>3831</v>
      </c>
      <c r="D840" s="168" t="s">
        <v>6061</v>
      </c>
      <c r="E840" s="168" t="s">
        <v>2268</v>
      </c>
      <c r="F840" s="168" t="s">
        <v>1521</v>
      </c>
      <c r="G840" s="168" t="s">
        <v>3324</v>
      </c>
      <c r="H840" s="292" t="s">
        <v>4623</v>
      </c>
      <c r="I840" s="293" t="s">
        <v>4623</v>
      </c>
      <c r="J840" s="293" t="s">
        <v>4623</v>
      </c>
      <c r="K840" s="290" t="s">
        <v>4623</v>
      </c>
      <c r="L840" s="290" t="s">
        <v>4623</v>
      </c>
      <c r="M840" s="290" t="s">
        <v>4623</v>
      </c>
      <c r="N840" s="290" t="s">
        <v>4623</v>
      </c>
      <c r="O840" s="290" t="s">
        <v>4623</v>
      </c>
      <c r="P840" s="290" t="s">
        <v>999</v>
      </c>
      <c r="Q840" s="291" t="s">
        <v>4623</v>
      </c>
      <c r="R840" s="276"/>
      <c r="S840" s="277">
        <f>IF(OR(C840="",C840=T$4),NA(),MATCH($B840&amp;$C840,'Smelter Reference List'!$J:$J,0))</f>
        <v>283</v>
      </c>
      <c r="T840" s="278"/>
      <c r="U840" s="278"/>
      <c r="V840" s="278"/>
      <c r="W840" s="278"/>
    </row>
    <row r="841" spans="1:23" s="269" customFormat="1" ht="20.25">
      <c r="A841" s="267"/>
      <c r="B841" s="275" t="s">
        <v>2438</v>
      </c>
      <c r="C841" s="275" t="s">
        <v>3831</v>
      </c>
      <c r="D841" s="168" t="s">
        <v>6061</v>
      </c>
      <c r="E841" s="168" t="s">
        <v>2268</v>
      </c>
      <c r="F841" s="168" t="s">
        <v>6062</v>
      </c>
      <c r="G841" s="168" t="s">
        <v>1629</v>
      </c>
      <c r="H841" s="292" t="s">
        <v>4623</v>
      </c>
      <c r="I841" s="293" t="s">
        <v>4623</v>
      </c>
      <c r="J841" s="293" t="s">
        <v>4623</v>
      </c>
      <c r="K841" s="290" t="s">
        <v>4623</v>
      </c>
      <c r="L841" s="290" t="s">
        <v>4623</v>
      </c>
      <c r="M841" s="290" t="s">
        <v>4623</v>
      </c>
      <c r="N841" s="290" t="s">
        <v>4623</v>
      </c>
      <c r="O841" s="290" t="s">
        <v>4623</v>
      </c>
      <c r="P841" s="290" t="s">
        <v>999</v>
      </c>
      <c r="Q841" s="291" t="s">
        <v>4623</v>
      </c>
      <c r="R841" s="276"/>
      <c r="S841" s="277">
        <f>IF(OR(C841="",C841=T$4),NA(),MATCH($B841&amp;$C841,'Smelter Reference List'!$J:$J,0))</f>
        <v>283</v>
      </c>
      <c r="T841" s="278"/>
      <c r="U841" s="278"/>
      <c r="V841" s="278"/>
      <c r="W841" s="278"/>
    </row>
    <row r="842" spans="1:23" s="269" customFormat="1" ht="20.25">
      <c r="A842" s="267"/>
      <c r="B842" s="275" t="s">
        <v>2438</v>
      </c>
      <c r="C842" s="275" t="s">
        <v>3831</v>
      </c>
      <c r="D842" s="168" t="s">
        <v>6063</v>
      </c>
      <c r="E842" s="168" t="s">
        <v>2283</v>
      </c>
      <c r="F842" s="168" t="s">
        <v>4623</v>
      </c>
      <c r="G842" s="168" t="s">
        <v>4623</v>
      </c>
      <c r="H842" s="292" t="s">
        <v>6064</v>
      </c>
      <c r="I842" s="293" t="s">
        <v>6065</v>
      </c>
      <c r="J842" s="293" t="s">
        <v>4623</v>
      </c>
      <c r="K842" s="290" t="s">
        <v>4623</v>
      </c>
      <c r="L842" s="290" t="s">
        <v>4623</v>
      </c>
      <c r="M842" s="290" t="s">
        <v>4623</v>
      </c>
      <c r="N842" s="290" t="s">
        <v>6063</v>
      </c>
      <c r="O842" s="290" t="s">
        <v>4638</v>
      </c>
      <c r="P842" s="290" t="s">
        <v>999</v>
      </c>
      <c r="Q842" s="291" t="s">
        <v>4623</v>
      </c>
      <c r="R842" s="276"/>
      <c r="S842" s="277">
        <f>IF(OR(C842="",C842=T$4),NA(),MATCH($B842&amp;$C842,'Smelter Reference List'!$J:$J,0))</f>
        <v>283</v>
      </c>
      <c r="T842" s="278"/>
      <c r="U842" s="278"/>
      <c r="V842" s="278"/>
      <c r="W842" s="278"/>
    </row>
    <row r="843" spans="1:23" s="269" customFormat="1" ht="20.25">
      <c r="A843" s="267"/>
      <c r="B843" s="275" t="s">
        <v>2438</v>
      </c>
      <c r="C843" s="275" t="s">
        <v>3831</v>
      </c>
      <c r="D843" s="168" t="s">
        <v>6066</v>
      </c>
      <c r="E843" s="168" t="s">
        <v>2283</v>
      </c>
      <c r="F843" s="168" t="s">
        <v>4623</v>
      </c>
      <c r="G843" s="168" t="s">
        <v>4623</v>
      </c>
      <c r="H843" s="292" t="s">
        <v>4623</v>
      </c>
      <c r="I843" s="293" t="s">
        <v>4623</v>
      </c>
      <c r="J843" s="293" t="s">
        <v>4623</v>
      </c>
      <c r="K843" s="290" t="s">
        <v>4623</v>
      </c>
      <c r="L843" s="290" t="s">
        <v>4623</v>
      </c>
      <c r="M843" s="290" t="s">
        <v>4623</v>
      </c>
      <c r="N843" s="290" t="s">
        <v>4623</v>
      </c>
      <c r="O843" s="290" t="s">
        <v>4623</v>
      </c>
      <c r="P843" s="290" t="s">
        <v>999</v>
      </c>
      <c r="Q843" s="291" t="s">
        <v>4623</v>
      </c>
      <c r="R843" s="276"/>
      <c r="S843" s="277">
        <f>IF(OR(C843="",C843=T$4),NA(),MATCH($B843&amp;$C843,'Smelter Reference List'!$J:$J,0))</f>
        <v>283</v>
      </c>
      <c r="T843" s="278"/>
      <c r="U843" s="278"/>
      <c r="V843" s="278"/>
      <c r="W843" s="278"/>
    </row>
    <row r="844" spans="1:23" s="269" customFormat="1" ht="20.25">
      <c r="A844" s="267"/>
      <c r="B844" s="275" t="s">
        <v>2438</v>
      </c>
      <c r="C844" s="275" t="s">
        <v>3831</v>
      </c>
      <c r="D844" s="168" t="s">
        <v>6067</v>
      </c>
      <c r="E844" s="168" t="s">
        <v>2283</v>
      </c>
      <c r="F844" s="168" t="s">
        <v>4623</v>
      </c>
      <c r="G844" s="168" t="s">
        <v>4623</v>
      </c>
      <c r="H844" s="292" t="s">
        <v>6068</v>
      </c>
      <c r="I844" s="293" t="s">
        <v>6069</v>
      </c>
      <c r="J844" s="293" t="s">
        <v>6070</v>
      </c>
      <c r="K844" s="290" t="s">
        <v>6071</v>
      </c>
      <c r="L844" s="290" t="s">
        <v>6072</v>
      </c>
      <c r="M844" s="290" t="s">
        <v>4623</v>
      </c>
      <c r="N844" s="290" t="s">
        <v>6073</v>
      </c>
      <c r="O844" s="290" t="s">
        <v>4638</v>
      </c>
      <c r="P844" s="290" t="s">
        <v>999</v>
      </c>
      <c r="Q844" s="291" t="s">
        <v>4623</v>
      </c>
      <c r="R844" s="276"/>
      <c r="S844" s="277">
        <f>IF(OR(C844="",C844=T$4),NA(),MATCH($B844&amp;$C844,'Smelter Reference List'!$J:$J,0))</f>
        <v>283</v>
      </c>
      <c r="T844" s="278"/>
      <c r="U844" s="278"/>
      <c r="V844" s="278"/>
      <c r="W844" s="278"/>
    </row>
    <row r="845" spans="1:23" s="269" customFormat="1" ht="20.25">
      <c r="A845" s="267"/>
      <c r="B845" s="275" t="s">
        <v>2438</v>
      </c>
      <c r="C845" s="275" t="s">
        <v>3831</v>
      </c>
      <c r="D845" s="168" t="s">
        <v>6074</v>
      </c>
      <c r="E845" s="168" t="s">
        <v>2283</v>
      </c>
      <c r="F845" s="168" t="s">
        <v>4623</v>
      </c>
      <c r="G845" s="168" t="s">
        <v>4623</v>
      </c>
      <c r="H845" s="292" t="s">
        <v>4623</v>
      </c>
      <c r="I845" s="293" t="s">
        <v>4623</v>
      </c>
      <c r="J845" s="293" t="s">
        <v>4623</v>
      </c>
      <c r="K845" s="290" t="s">
        <v>4623</v>
      </c>
      <c r="L845" s="290" t="s">
        <v>4623</v>
      </c>
      <c r="M845" s="290" t="s">
        <v>4623</v>
      </c>
      <c r="N845" s="290" t="s">
        <v>4623</v>
      </c>
      <c r="O845" s="290" t="s">
        <v>4623</v>
      </c>
      <c r="P845" s="290" t="s">
        <v>999</v>
      </c>
      <c r="Q845" s="291" t="s">
        <v>4623</v>
      </c>
      <c r="R845" s="276"/>
      <c r="S845" s="277">
        <f>IF(OR(C845="",C845=T$4),NA(),MATCH($B845&amp;$C845,'Smelter Reference List'!$J:$J,0))</f>
        <v>283</v>
      </c>
      <c r="T845" s="278"/>
      <c r="U845" s="278"/>
      <c r="V845" s="278"/>
      <c r="W845" s="278"/>
    </row>
    <row r="846" spans="1:23" s="269" customFormat="1" ht="20.25">
      <c r="A846" s="267"/>
      <c r="B846" s="275" t="s">
        <v>2438</v>
      </c>
      <c r="C846" s="275" t="s">
        <v>3831</v>
      </c>
      <c r="D846" s="168" t="s">
        <v>6075</v>
      </c>
      <c r="E846" s="168" t="s">
        <v>2283</v>
      </c>
      <c r="F846" s="168" t="s">
        <v>4623</v>
      </c>
      <c r="G846" s="168" t="s">
        <v>4623</v>
      </c>
      <c r="H846" s="292" t="s">
        <v>6076</v>
      </c>
      <c r="I846" s="293" t="s">
        <v>6077</v>
      </c>
      <c r="J846" s="293" t="s">
        <v>3337</v>
      </c>
      <c r="K846" s="290" t="s">
        <v>6071</v>
      </c>
      <c r="L846" s="290" t="s">
        <v>6072</v>
      </c>
      <c r="M846" s="290" t="s">
        <v>4623</v>
      </c>
      <c r="N846" s="290" t="s">
        <v>6073</v>
      </c>
      <c r="O846" s="290" t="s">
        <v>6078</v>
      </c>
      <c r="P846" s="290" t="s">
        <v>999</v>
      </c>
      <c r="Q846" s="291" t="s">
        <v>4623</v>
      </c>
      <c r="R846" s="276"/>
      <c r="S846" s="277">
        <f>IF(OR(C846="",C846=T$4),NA(),MATCH($B846&amp;$C846,'Smelter Reference List'!$J:$J,0))</f>
        <v>283</v>
      </c>
      <c r="T846" s="278"/>
      <c r="U846" s="278"/>
      <c r="V846" s="278"/>
      <c r="W846" s="278"/>
    </row>
    <row r="847" spans="1:23" s="269" customFormat="1" ht="20.25">
      <c r="A847" s="267"/>
      <c r="B847" s="275" t="s">
        <v>2438</v>
      </c>
      <c r="C847" s="275" t="s">
        <v>3831</v>
      </c>
      <c r="D847" s="168" t="s">
        <v>78</v>
      </c>
      <c r="E847" s="168" t="s">
        <v>2283</v>
      </c>
      <c r="F847" s="168" t="s">
        <v>4623</v>
      </c>
      <c r="G847" s="168" t="s">
        <v>4623</v>
      </c>
      <c r="H847" s="292" t="s">
        <v>4623</v>
      </c>
      <c r="I847" s="293" t="s">
        <v>4623</v>
      </c>
      <c r="J847" s="293" t="s">
        <v>4623</v>
      </c>
      <c r="K847" s="290" t="s">
        <v>4623</v>
      </c>
      <c r="L847" s="290" t="s">
        <v>4623</v>
      </c>
      <c r="M847" s="290" t="s">
        <v>4623</v>
      </c>
      <c r="N847" s="290" t="s">
        <v>4623</v>
      </c>
      <c r="O847" s="290" t="s">
        <v>4623</v>
      </c>
      <c r="P847" s="290" t="s">
        <v>999</v>
      </c>
      <c r="Q847" s="291" t="s">
        <v>4623</v>
      </c>
      <c r="R847" s="276"/>
      <c r="S847" s="277">
        <f>IF(OR(C847="",C847=T$4),NA(),MATCH($B847&amp;$C847,'Smelter Reference List'!$J:$J,0))</f>
        <v>283</v>
      </c>
      <c r="T847" s="278"/>
      <c r="U847" s="278"/>
      <c r="V847" s="278"/>
      <c r="W847" s="278"/>
    </row>
    <row r="848" spans="1:23" s="269" customFormat="1" ht="20.25">
      <c r="A848" s="267"/>
      <c r="B848" s="275" t="s">
        <v>2438</v>
      </c>
      <c r="C848" s="275" t="s">
        <v>3831</v>
      </c>
      <c r="D848" s="168" t="s">
        <v>6079</v>
      </c>
      <c r="E848" s="168" t="s">
        <v>2290</v>
      </c>
      <c r="F848" s="168" t="s">
        <v>4623</v>
      </c>
      <c r="G848" s="168" t="s">
        <v>4623</v>
      </c>
      <c r="H848" s="292" t="s">
        <v>4623</v>
      </c>
      <c r="I848" s="293" t="s">
        <v>4623</v>
      </c>
      <c r="J848" s="293" t="s">
        <v>4623</v>
      </c>
      <c r="K848" s="290" t="s">
        <v>4623</v>
      </c>
      <c r="L848" s="290" t="s">
        <v>4623</v>
      </c>
      <c r="M848" s="290" t="s">
        <v>4623</v>
      </c>
      <c r="N848" s="290" t="s">
        <v>4623</v>
      </c>
      <c r="O848" s="290" t="s">
        <v>4623</v>
      </c>
      <c r="P848" s="290" t="s">
        <v>999</v>
      </c>
      <c r="Q848" s="291" t="s">
        <v>4623</v>
      </c>
      <c r="R848" s="276"/>
      <c r="S848" s="277">
        <f>IF(OR(C848="",C848=T$4),NA(),MATCH($B848&amp;$C848,'Smelter Reference List'!$J:$J,0))</f>
        <v>283</v>
      </c>
      <c r="T848" s="278"/>
      <c r="U848" s="278"/>
      <c r="V848" s="278"/>
      <c r="W848" s="278"/>
    </row>
    <row r="849" spans="1:23" s="269" customFormat="1" ht="20.25">
      <c r="A849" s="267"/>
      <c r="B849" s="275" t="s">
        <v>2438</v>
      </c>
      <c r="C849" s="275" t="s">
        <v>3831</v>
      </c>
      <c r="D849" s="168" t="s">
        <v>6080</v>
      </c>
      <c r="E849" s="168" t="s">
        <v>2290</v>
      </c>
      <c r="F849" s="168" t="s">
        <v>4623</v>
      </c>
      <c r="G849" s="168" t="s">
        <v>4623</v>
      </c>
      <c r="H849" s="292" t="s">
        <v>4623</v>
      </c>
      <c r="I849" s="293" t="s">
        <v>4623</v>
      </c>
      <c r="J849" s="293" t="s">
        <v>4623</v>
      </c>
      <c r="K849" s="290" t="s">
        <v>4623</v>
      </c>
      <c r="L849" s="290" t="s">
        <v>4623</v>
      </c>
      <c r="M849" s="290" t="s">
        <v>4623</v>
      </c>
      <c r="N849" s="290" t="s">
        <v>4623</v>
      </c>
      <c r="O849" s="290" t="s">
        <v>4623</v>
      </c>
      <c r="P849" s="290" t="s">
        <v>999</v>
      </c>
      <c r="Q849" s="291" t="s">
        <v>4623</v>
      </c>
      <c r="R849" s="276"/>
      <c r="S849" s="277">
        <f>IF(OR(C849="",C849=T$4),NA(),MATCH($B849&amp;$C849,'Smelter Reference List'!$J:$J,0))</f>
        <v>283</v>
      </c>
      <c r="T849" s="278"/>
      <c r="U849" s="278"/>
      <c r="V849" s="278"/>
      <c r="W849" s="278"/>
    </row>
    <row r="850" spans="1:23" s="269" customFormat="1" ht="20.25">
      <c r="A850" s="267"/>
      <c r="B850" s="275" t="s">
        <v>2438</v>
      </c>
      <c r="C850" s="275" t="s">
        <v>3831</v>
      </c>
      <c r="D850" s="168" t="s">
        <v>6081</v>
      </c>
      <c r="E850" s="168" t="s">
        <v>2294</v>
      </c>
      <c r="F850" s="168" t="s">
        <v>6082</v>
      </c>
      <c r="G850" s="168" t="s">
        <v>1629</v>
      </c>
      <c r="H850" s="292" t="s">
        <v>4623</v>
      </c>
      <c r="I850" s="293" t="s">
        <v>4623</v>
      </c>
      <c r="J850" s="293" t="s">
        <v>4623</v>
      </c>
      <c r="K850" s="290" t="s">
        <v>4623</v>
      </c>
      <c r="L850" s="290" t="s">
        <v>4623</v>
      </c>
      <c r="M850" s="290" t="s">
        <v>4623</v>
      </c>
      <c r="N850" s="290" t="s">
        <v>4623</v>
      </c>
      <c r="O850" s="290" t="s">
        <v>4623</v>
      </c>
      <c r="P850" s="290" t="s">
        <v>999</v>
      </c>
      <c r="Q850" s="291" t="s">
        <v>4623</v>
      </c>
      <c r="R850" s="276"/>
      <c r="S850" s="277">
        <f>IF(OR(C850="",C850=T$4),NA(),MATCH($B850&amp;$C850,'Smelter Reference List'!$J:$J,0))</f>
        <v>283</v>
      </c>
      <c r="T850" s="278"/>
      <c r="U850" s="278"/>
      <c r="V850" s="278"/>
      <c r="W850" s="278"/>
    </row>
    <row r="851" spans="1:23" s="269" customFormat="1" ht="20.25">
      <c r="A851" s="267"/>
      <c r="B851" s="275" t="s">
        <v>2438</v>
      </c>
      <c r="C851" s="275" t="s">
        <v>3831</v>
      </c>
      <c r="D851" s="168" t="s">
        <v>6083</v>
      </c>
      <c r="E851" s="168" t="s">
        <v>2294</v>
      </c>
      <c r="F851" s="168" t="s">
        <v>4623</v>
      </c>
      <c r="G851" s="168" t="s">
        <v>4623</v>
      </c>
      <c r="H851" s="292" t="s">
        <v>4623</v>
      </c>
      <c r="I851" s="293" t="s">
        <v>4623</v>
      </c>
      <c r="J851" s="293" t="s">
        <v>4623</v>
      </c>
      <c r="K851" s="290" t="s">
        <v>4623</v>
      </c>
      <c r="L851" s="290" t="s">
        <v>4623</v>
      </c>
      <c r="M851" s="290" t="s">
        <v>4623</v>
      </c>
      <c r="N851" s="290" t="s">
        <v>4623</v>
      </c>
      <c r="O851" s="290" t="s">
        <v>4623</v>
      </c>
      <c r="P851" s="290" t="s">
        <v>999</v>
      </c>
      <c r="Q851" s="291" t="s">
        <v>4623</v>
      </c>
      <c r="R851" s="276"/>
      <c r="S851" s="277">
        <f>IF(OR(C851="",C851=T$4),NA(),MATCH($B851&amp;$C851,'Smelter Reference List'!$J:$J,0))</f>
        <v>283</v>
      </c>
      <c r="T851" s="278"/>
      <c r="U851" s="278"/>
      <c r="V851" s="278"/>
      <c r="W851" s="278"/>
    </row>
    <row r="852" spans="1:23" s="269" customFormat="1" ht="20.25">
      <c r="A852" s="267"/>
      <c r="B852" s="275" t="s">
        <v>2438</v>
      </c>
      <c r="C852" s="275" t="s">
        <v>3831</v>
      </c>
      <c r="D852" s="168" t="s">
        <v>6084</v>
      </c>
      <c r="E852" s="168" t="s">
        <v>2294</v>
      </c>
      <c r="F852" s="168" t="s">
        <v>1509</v>
      </c>
      <c r="G852" s="168" t="s">
        <v>3324</v>
      </c>
      <c r="H852" s="292" t="s">
        <v>4623</v>
      </c>
      <c r="I852" s="293" t="s">
        <v>4623</v>
      </c>
      <c r="J852" s="293" t="s">
        <v>4623</v>
      </c>
      <c r="K852" s="290" t="s">
        <v>4623</v>
      </c>
      <c r="L852" s="290" t="s">
        <v>4623</v>
      </c>
      <c r="M852" s="290" t="s">
        <v>4623</v>
      </c>
      <c r="N852" s="290" t="s">
        <v>4623</v>
      </c>
      <c r="O852" s="290" t="s">
        <v>4623</v>
      </c>
      <c r="P852" s="290" t="s">
        <v>999</v>
      </c>
      <c r="Q852" s="291" t="s">
        <v>4623</v>
      </c>
      <c r="R852" s="276"/>
      <c r="S852" s="277">
        <f>IF(OR(C852="",C852=T$4),NA(),MATCH($B852&amp;$C852,'Smelter Reference List'!$J:$J,0))</f>
        <v>283</v>
      </c>
      <c r="T852" s="278"/>
      <c r="U852" s="278"/>
      <c r="V852" s="278"/>
      <c r="W852" s="278"/>
    </row>
    <row r="853" spans="1:23" s="269" customFormat="1" ht="20.25">
      <c r="A853" s="267"/>
      <c r="B853" s="275" t="s">
        <v>2438</v>
      </c>
      <c r="C853" s="275" t="s">
        <v>3831</v>
      </c>
      <c r="D853" s="168" t="s">
        <v>6085</v>
      </c>
      <c r="E853" s="168" t="s">
        <v>2294</v>
      </c>
      <c r="F853" s="168" t="s">
        <v>4623</v>
      </c>
      <c r="G853" s="168" t="s">
        <v>4623</v>
      </c>
      <c r="H853" s="292" t="s">
        <v>4623</v>
      </c>
      <c r="I853" s="293" t="s">
        <v>4623</v>
      </c>
      <c r="J853" s="293" t="s">
        <v>4623</v>
      </c>
      <c r="K853" s="290" t="s">
        <v>4623</v>
      </c>
      <c r="L853" s="290" t="s">
        <v>4623</v>
      </c>
      <c r="M853" s="290" t="s">
        <v>4623</v>
      </c>
      <c r="N853" s="290" t="s">
        <v>4623</v>
      </c>
      <c r="O853" s="290" t="s">
        <v>4623</v>
      </c>
      <c r="P853" s="290" t="s">
        <v>999</v>
      </c>
      <c r="Q853" s="291" t="s">
        <v>4623</v>
      </c>
      <c r="R853" s="276"/>
      <c r="S853" s="277">
        <f>IF(OR(C853="",C853=T$4),NA(),MATCH($B853&amp;$C853,'Smelter Reference List'!$J:$J,0))</f>
        <v>283</v>
      </c>
      <c r="T853" s="278"/>
      <c r="U853" s="278"/>
      <c r="V853" s="278"/>
      <c r="W853" s="278"/>
    </row>
    <row r="854" spans="1:23" s="269" customFormat="1" ht="20.25">
      <c r="A854" s="267"/>
      <c r="B854" s="275" t="s">
        <v>2438</v>
      </c>
      <c r="C854" s="275" t="s">
        <v>3831</v>
      </c>
      <c r="D854" s="168" t="s">
        <v>6086</v>
      </c>
      <c r="E854" s="168" t="s">
        <v>2294</v>
      </c>
      <c r="F854" s="168" t="s">
        <v>4623</v>
      </c>
      <c r="G854" s="168" t="s">
        <v>4623</v>
      </c>
      <c r="H854" s="292" t="s">
        <v>4623</v>
      </c>
      <c r="I854" s="293" t="s">
        <v>4623</v>
      </c>
      <c r="J854" s="293" t="s">
        <v>4623</v>
      </c>
      <c r="K854" s="290" t="s">
        <v>4623</v>
      </c>
      <c r="L854" s="290" t="s">
        <v>4623</v>
      </c>
      <c r="M854" s="290" t="s">
        <v>4623</v>
      </c>
      <c r="N854" s="290" t="s">
        <v>4623</v>
      </c>
      <c r="O854" s="290" t="s">
        <v>4623</v>
      </c>
      <c r="P854" s="290" t="s">
        <v>999</v>
      </c>
      <c r="Q854" s="291" t="s">
        <v>4623</v>
      </c>
      <c r="R854" s="276"/>
      <c r="S854" s="277">
        <f>IF(OR(C854="",C854=T$4),NA(),MATCH($B854&amp;$C854,'Smelter Reference List'!$J:$J,0))</f>
        <v>283</v>
      </c>
      <c r="T854" s="278"/>
      <c r="U854" s="278"/>
      <c r="V854" s="278"/>
      <c r="W854" s="278"/>
    </row>
    <row r="855" spans="1:23" s="269" customFormat="1" ht="20.25">
      <c r="A855" s="267"/>
      <c r="B855" s="275" t="s">
        <v>2438</v>
      </c>
      <c r="C855" s="275" t="s">
        <v>3831</v>
      </c>
      <c r="D855" s="168" t="s">
        <v>6087</v>
      </c>
      <c r="E855" s="168" t="s">
        <v>2294</v>
      </c>
      <c r="F855" s="168" t="s">
        <v>4623</v>
      </c>
      <c r="G855" s="168" t="s">
        <v>4623</v>
      </c>
      <c r="H855" s="292" t="s">
        <v>4623</v>
      </c>
      <c r="I855" s="293" t="s">
        <v>4623</v>
      </c>
      <c r="J855" s="293" t="s">
        <v>4623</v>
      </c>
      <c r="K855" s="290" t="s">
        <v>4623</v>
      </c>
      <c r="L855" s="290" t="s">
        <v>4623</v>
      </c>
      <c r="M855" s="290" t="s">
        <v>4623</v>
      </c>
      <c r="N855" s="290" t="s">
        <v>4623</v>
      </c>
      <c r="O855" s="290" t="s">
        <v>4623</v>
      </c>
      <c r="P855" s="290" t="s">
        <v>999</v>
      </c>
      <c r="Q855" s="291" t="s">
        <v>4623</v>
      </c>
      <c r="R855" s="276"/>
      <c r="S855" s="277">
        <f>IF(OR(C855="",C855=T$4),NA(),MATCH($B855&amp;$C855,'Smelter Reference List'!$J:$J,0))</f>
        <v>283</v>
      </c>
      <c r="T855" s="278"/>
      <c r="U855" s="278"/>
      <c r="V855" s="278"/>
      <c r="W855" s="278"/>
    </row>
    <row r="856" spans="1:23" s="269" customFormat="1" ht="20.25">
      <c r="A856" s="267"/>
      <c r="B856" s="275" t="s">
        <v>2438</v>
      </c>
      <c r="C856" s="275" t="s">
        <v>3831</v>
      </c>
      <c r="D856" s="168" t="s">
        <v>6088</v>
      </c>
      <c r="E856" s="168" t="s">
        <v>2294</v>
      </c>
      <c r="F856" s="168" t="s">
        <v>4623</v>
      </c>
      <c r="G856" s="168" t="s">
        <v>4623</v>
      </c>
      <c r="H856" s="292" t="s">
        <v>4623</v>
      </c>
      <c r="I856" s="293" t="s">
        <v>4623</v>
      </c>
      <c r="J856" s="293" t="s">
        <v>4623</v>
      </c>
      <c r="K856" s="290" t="s">
        <v>4623</v>
      </c>
      <c r="L856" s="290" t="s">
        <v>4623</v>
      </c>
      <c r="M856" s="290" t="s">
        <v>4623</v>
      </c>
      <c r="N856" s="290" t="s">
        <v>4623</v>
      </c>
      <c r="O856" s="290" t="s">
        <v>4623</v>
      </c>
      <c r="P856" s="290" t="s">
        <v>999</v>
      </c>
      <c r="Q856" s="291" t="s">
        <v>4623</v>
      </c>
      <c r="R856" s="276"/>
      <c r="S856" s="277">
        <f>IF(OR(C856="",C856=T$4),NA(),MATCH($B856&amp;$C856,'Smelter Reference List'!$J:$J,0))</f>
        <v>283</v>
      </c>
      <c r="T856" s="278"/>
      <c r="U856" s="278"/>
      <c r="V856" s="278"/>
      <c r="W856" s="278"/>
    </row>
    <row r="857" spans="1:23" s="269" customFormat="1" ht="20.25">
      <c r="A857" s="267"/>
      <c r="B857" s="275" t="s">
        <v>2438</v>
      </c>
      <c r="C857" s="275" t="s">
        <v>3831</v>
      </c>
      <c r="D857" s="168" t="s">
        <v>6089</v>
      </c>
      <c r="E857" s="168" t="s">
        <v>2294</v>
      </c>
      <c r="F857" s="168" t="s">
        <v>4623</v>
      </c>
      <c r="G857" s="168" t="s">
        <v>4623</v>
      </c>
      <c r="H857" s="292" t="s">
        <v>4623</v>
      </c>
      <c r="I857" s="293" t="s">
        <v>4623</v>
      </c>
      <c r="J857" s="293" t="s">
        <v>4623</v>
      </c>
      <c r="K857" s="290" t="s">
        <v>4623</v>
      </c>
      <c r="L857" s="290" t="s">
        <v>4623</v>
      </c>
      <c r="M857" s="290" t="s">
        <v>4623</v>
      </c>
      <c r="N857" s="290" t="s">
        <v>4623</v>
      </c>
      <c r="O857" s="290" t="s">
        <v>4623</v>
      </c>
      <c r="P857" s="290" t="s">
        <v>999</v>
      </c>
      <c r="Q857" s="291" t="s">
        <v>4623</v>
      </c>
      <c r="R857" s="276"/>
      <c r="S857" s="277">
        <f>IF(OR(C857="",C857=T$4),NA(),MATCH($B857&amp;$C857,'Smelter Reference List'!$J:$J,0))</f>
        <v>283</v>
      </c>
      <c r="T857" s="278"/>
      <c r="U857" s="278"/>
      <c r="V857" s="278"/>
      <c r="W857" s="278"/>
    </row>
    <row r="858" spans="1:23" s="269" customFormat="1" ht="20.25">
      <c r="A858" s="267"/>
      <c r="B858" s="275" t="s">
        <v>2438</v>
      </c>
      <c r="C858" s="275" t="s">
        <v>3831</v>
      </c>
      <c r="D858" s="168" t="s">
        <v>4997</v>
      </c>
      <c r="E858" s="168" t="s">
        <v>2294</v>
      </c>
      <c r="F858" s="168" t="s">
        <v>4623</v>
      </c>
      <c r="G858" s="168" t="s">
        <v>4623</v>
      </c>
      <c r="H858" s="292" t="s">
        <v>4999</v>
      </c>
      <c r="I858" s="293" t="s">
        <v>3542</v>
      </c>
      <c r="J858" s="293" t="s">
        <v>6090</v>
      </c>
      <c r="K858" s="290" t="s">
        <v>6091</v>
      </c>
      <c r="L858" s="290" t="s">
        <v>5001</v>
      </c>
      <c r="M858" s="290" t="s">
        <v>5002</v>
      </c>
      <c r="N858" s="290" t="s">
        <v>4667</v>
      </c>
      <c r="O858" s="290" t="s">
        <v>6092</v>
      </c>
      <c r="P858" s="290" t="s">
        <v>999</v>
      </c>
      <c r="Q858" s="291" t="s">
        <v>4623</v>
      </c>
      <c r="R858" s="276"/>
      <c r="S858" s="277">
        <f>IF(OR(C858="",C858=T$4),NA(),MATCH($B858&amp;$C858,'Smelter Reference List'!$J:$J,0))</f>
        <v>283</v>
      </c>
      <c r="T858" s="278"/>
      <c r="U858" s="278"/>
      <c r="V858" s="278"/>
      <c r="W858" s="278"/>
    </row>
    <row r="859" spans="1:23" s="269" customFormat="1" ht="20.25">
      <c r="A859" s="267"/>
      <c r="B859" s="275" t="s">
        <v>2438</v>
      </c>
      <c r="C859" s="275" t="s">
        <v>3831</v>
      </c>
      <c r="D859" s="168" t="s">
        <v>6093</v>
      </c>
      <c r="E859" s="168" t="s">
        <v>2294</v>
      </c>
      <c r="F859" s="168" t="s">
        <v>4623</v>
      </c>
      <c r="G859" s="168" t="s">
        <v>4623</v>
      </c>
      <c r="H859" s="292" t="s">
        <v>6094</v>
      </c>
      <c r="I859" s="293" t="s">
        <v>6095</v>
      </c>
      <c r="J859" s="293" t="s">
        <v>3542</v>
      </c>
      <c r="K859" s="290" t="s">
        <v>4623</v>
      </c>
      <c r="L859" s="290">
        <v>-8731846</v>
      </c>
      <c r="M859" s="290" t="s">
        <v>4623</v>
      </c>
      <c r="N859" s="290" t="s">
        <v>4623</v>
      </c>
      <c r="O859" s="290" t="s">
        <v>4623</v>
      </c>
      <c r="P859" s="290" t="s">
        <v>999</v>
      </c>
      <c r="Q859" s="291" t="s">
        <v>4623</v>
      </c>
      <c r="R859" s="276"/>
      <c r="S859" s="277">
        <f>IF(OR(C859="",C859=T$4),NA(),MATCH($B859&amp;$C859,'Smelter Reference List'!$J:$J,0))</f>
        <v>283</v>
      </c>
      <c r="T859" s="278"/>
      <c r="U859" s="278"/>
      <c r="V859" s="278"/>
      <c r="W859" s="278"/>
    </row>
    <row r="860" spans="1:23" s="269" customFormat="1" ht="20.25">
      <c r="A860" s="267"/>
      <c r="B860" s="275" t="s">
        <v>2438</v>
      </c>
      <c r="C860" s="275" t="s">
        <v>3831</v>
      </c>
      <c r="D860" s="168" t="s">
        <v>6096</v>
      </c>
      <c r="E860" s="168" t="s">
        <v>2294</v>
      </c>
      <c r="F860" s="168" t="s">
        <v>4623</v>
      </c>
      <c r="G860" s="168" t="s">
        <v>4623</v>
      </c>
      <c r="H860" s="292" t="s">
        <v>4623</v>
      </c>
      <c r="I860" s="293" t="s">
        <v>4623</v>
      </c>
      <c r="J860" s="293" t="s">
        <v>4623</v>
      </c>
      <c r="K860" s="290" t="s">
        <v>4623</v>
      </c>
      <c r="L860" s="290" t="s">
        <v>4623</v>
      </c>
      <c r="M860" s="290" t="s">
        <v>4623</v>
      </c>
      <c r="N860" s="290" t="s">
        <v>4623</v>
      </c>
      <c r="O860" s="290" t="s">
        <v>4623</v>
      </c>
      <c r="P860" s="290" t="s">
        <v>999</v>
      </c>
      <c r="Q860" s="291" t="s">
        <v>4623</v>
      </c>
      <c r="R860" s="276"/>
      <c r="S860" s="277">
        <f>IF(OR(C860="",C860=T$4),NA(),MATCH($B860&amp;$C860,'Smelter Reference List'!$J:$J,0))</f>
        <v>283</v>
      </c>
      <c r="T860" s="278"/>
      <c r="U860" s="278"/>
      <c r="V860" s="278"/>
      <c r="W860" s="278"/>
    </row>
    <row r="861" spans="1:23" s="269" customFormat="1" ht="20.25">
      <c r="A861" s="267"/>
      <c r="B861" s="275" t="s">
        <v>2438</v>
      </c>
      <c r="C861" s="275" t="s">
        <v>3831</v>
      </c>
      <c r="D861" s="168" t="s">
        <v>6097</v>
      </c>
      <c r="E861" s="168" t="s">
        <v>2294</v>
      </c>
      <c r="F861" s="168" t="s">
        <v>4623</v>
      </c>
      <c r="G861" s="168" t="s">
        <v>4623</v>
      </c>
      <c r="H861" s="292" t="s">
        <v>6098</v>
      </c>
      <c r="I861" s="293" t="s">
        <v>4623</v>
      </c>
      <c r="J861" s="293" t="s">
        <v>4623</v>
      </c>
      <c r="K861" s="290" t="s">
        <v>6099</v>
      </c>
      <c r="L861" s="290" t="s">
        <v>5012</v>
      </c>
      <c r="M861" s="290" t="s">
        <v>4623</v>
      </c>
      <c r="N861" s="290" t="s">
        <v>4623</v>
      </c>
      <c r="O861" s="290" t="s">
        <v>4667</v>
      </c>
      <c r="P861" s="290" t="s">
        <v>999</v>
      </c>
      <c r="Q861" s="291" t="s">
        <v>4623</v>
      </c>
      <c r="R861" s="276"/>
      <c r="S861" s="277">
        <f>IF(OR(C861="",C861=T$4),NA(),MATCH($B861&amp;$C861,'Smelter Reference List'!$J:$J,0))</f>
        <v>283</v>
      </c>
      <c r="T861" s="278"/>
      <c r="U861" s="278"/>
      <c r="V861" s="278"/>
      <c r="W861" s="278"/>
    </row>
    <row r="862" spans="1:23" s="269" customFormat="1" ht="20.25">
      <c r="A862" s="267"/>
      <c r="B862" s="275" t="s">
        <v>2438</v>
      </c>
      <c r="C862" s="275" t="s">
        <v>3831</v>
      </c>
      <c r="D862" s="168" t="s">
        <v>6100</v>
      </c>
      <c r="E862" s="168" t="s">
        <v>2294</v>
      </c>
      <c r="F862" s="168" t="s">
        <v>4623</v>
      </c>
      <c r="G862" s="168" t="s">
        <v>4623</v>
      </c>
      <c r="H862" s="292" t="s">
        <v>4623</v>
      </c>
      <c r="I862" s="293" t="s">
        <v>4623</v>
      </c>
      <c r="J862" s="293" t="s">
        <v>4623</v>
      </c>
      <c r="K862" s="290" t="s">
        <v>4623</v>
      </c>
      <c r="L862" s="290" t="s">
        <v>4623</v>
      </c>
      <c r="M862" s="290" t="s">
        <v>4623</v>
      </c>
      <c r="N862" s="290" t="s">
        <v>4623</v>
      </c>
      <c r="O862" s="290" t="s">
        <v>4623</v>
      </c>
      <c r="P862" s="290" t="s">
        <v>999</v>
      </c>
      <c r="Q862" s="291" t="s">
        <v>4623</v>
      </c>
      <c r="R862" s="276"/>
      <c r="S862" s="277">
        <f>IF(OR(C862="",C862=T$4),NA(),MATCH($B862&amp;$C862,'Smelter Reference List'!$J:$J,0))</f>
        <v>283</v>
      </c>
      <c r="T862" s="278"/>
      <c r="U862" s="278"/>
      <c r="V862" s="278"/>
      <c r="W862" s="278"/>
    </row>
    <row r="863" spans="1:23" s="269" customFormat="1" ht="20.25">
      <c r="A863" s="267"/>
      <c r="B863" s="275" t="s">
        <v>2438</v>
      </c>
      <c r="C863" s="275" t="s">
        <v>3831</v>
      </c>
      <c r="D863" s="168" t="s">
        <v>6101</v>
      </c>
      <c r="E863" s="168" t="s">
        <v>2294</v>
      </c>
      <c r="F863" s="168" t="s">
        <v>4623</v>
      </c>
      <c r="G863" s="168" t="s">
        <v>4623</v>
      </c>
      <c r="H863" s="292" t="s">
        <v>4623</v>
      </c>
      <c r="I863" s="293" t="s">
        <v>4623</v>
      </c>
      <c r="J863" s="293" t="s">
        <v>4623</v>
      </c>
      <c r="K863" s="290" t="s">
        <v>4623</v>
      </c>
      <c r="L863" s="290" t="s">
        <v>4623</v>
      </c>
      <c r="M863" s="290" t="s">
        <v>4623</v>
      </c>
      <c r="N863" s="290" t="s">
        <v>4623</v>
      </c>
      <c r="O863" s="290" t="s">
        <v>4623</v>
      </c>
      <c r="P863" s="290" t="s">
        <v>999</v>
      </c>
      <c r="Q863" s="291" t="s">
        <v>4623</v>
      </c>
      <c r="R863" s="276"/>
      <c r="S863" s="277">
        <f>IF(OR(C863="",C863=T$4),NA(),MATCH($B863&amp;$C863,'Smelter Reference List'!$J:$J,0))</f>
        <v>283</v>
      </c>
      <c r="T863" s="278"/>
      <c r="U863" s="278"/>
      <c r="V863" s="278"/>
      <c r="W863" s="278"/>
    </row>
    <row r="864" spans="1:23" s="269" customFormat="1" ht="20.25">
      <c r="A864" s="267"/>
      <c r="B864" s="275" t="s">
        <v>2438</v>
      </c>
      <c r="C864" s="275" t="s">
        <v>3831</v>
      </c>
      <c r="D864" s="168" t="s">
        <v>6102</v>
      </c>
      <c r="E864" s="168" t="s">
        <v>2294</v>
      </c>
      <c r="F864" s="168" t="s">
        <v>4623</v>
      </c>
      <c r="G864" s="168" t="s">
        <v>4623</v>
      </c>
      <c r="H864" s="292" t="s">
        <v>4623</v>
      </c>
      <c r="I864" s="293" t="s">
        <v>4623</v>
      </c>
      <c r="J864" s="293" t="s">
        <v>4623</v>
      </c>
      <c r="K864" s="290" t="s">
        <v>4623</v>
      </c>
      <c r="L864" s="290" t="s">
        <v>4623</v>
      </c>
      <c r="M864" s="290" t="s">
        <v>4623</v>
      </c>
      <c r="N864" s="290" t="s">
        <v>4623</v>
      </c>
      <c r="O864" s="290" t="s">
        <v>4623</v>
      </c>
      <c r="P864" s="290" t="s">
        <v>999</v>
      </c>
      <c r="Q864" s="291" t="s">
        <v>4623</v>
      </c>
      <c r="R864" s="276"/>
      <c r="S864" s="277">
        <f>IF(OR(C864="",C864=T$4),NA(),MATCH($B864&amp;$C864,'Smelter Reference List'!$J:$J,0))</f>
        <v>283</v>
      </c>
      <c r="T864" s="278"/>
      <c r="U864" s="278"/>
      <c r="V864" s="278"/>
      <c r="W864" s="278"/>
    </row>
    <row r="865" spans="1:23" s="269" customFormat="1" ht="20.25">
      <c r="A865" s="267"/>
      <c r="B865" s="275" t="s">
        <v>2438</v>
      </c>
      <c r="C865" s="275" t="s">
        <v>3831</v>
      </c>
      <c r="D865" s="168" t="s">
        <v>6103</v>
      </c>
      <c r="E865" s="168" t="s">
        <v>2294</v>
      </c>
      <c r="F865" s="168" t="s">
        <v>4623</v>
      </c>
      <c r="G865" s="168" t="s">
        <v>4623</v>
      </c>
      <c r="H865" s="292" t="s">
        <v>6104</v>
      </c>
      <c r="I865" s="293" t="s">
        <v>3398</v>
      </c>
      <c r="J865" s="293" t="s">
        <v>6105</v>
      </c>
      <c r="K865" s="290" t="s">
        <v>6106</v>
      </c>
      <c r="L865" s="290" t="s">
        <v>6107</v>
      </c>
      <c r="M865" s="290" t="s">
        <v>4623</v>
      </c>
      <c r="N865" s="290" t="s">
        <v>5107</v>
      </c>
      <c r="O865" s="290" t="s">
        <v>4667</v>
      </c>
      <c r="P865" s="290" t="s">
        <v>999</v>
      </c>
      <c r="Q865" s="291" t="s">
        <v>4623</v>
      </c>
      <c r="R865" s="276"/>
      <c r="S865" s="277">
        <f>IF(OR(C865="",C865=T$4),NA(),MATCH($B865&amp;$C865,'Smelter Reference List'!$J:$J,0))</f>
        <v>283</v>
      </c>
      <c r="T865" s="278"/>
      <c r="U865" s="278"/>
      <c r="V865" s="278"/>
      <c r="W865" s="278"/>
    </row>
    <row r="866" spans="1:23" s="269" customFormat="1" ht="20.25">
      <c r="A866" s="267"/>
      <c r="B866" s="275" t="s">
        <v>2438</v>
      </c>
      <c r="C866" s="275" t="s">
        <v>3831</v>
      </c>
      <c r="D866" s="168" t="s">
        <v>6108</v>
      </c>
      <c r="E866" s="168" t="s">
        <v>2294</v>
      </c>
      <c r="F866" s="168" t="s">
        <v>4623</v>
      </c>
      <c r="G866" s="168" t="s">
        <v>4623</v>
      </c>
      <c r="H866" s="292" t="s">
        <v>4623</v>
      </c>
      <c r="I866" s="293" t="s">
        <v>4623</v>
      </c>
      <c r="J866" s="293" t="s">
        <v>4623</v>
      </c>
      <c r="K866" s="290" t="s">
        <v>4623</v>
      </c>
      <c r="L866" s="290" t="s">
        <v>4623</v>
      </c>
      <c r="M866" s="290" t="s">
        <v>4623</v>
      </c>
      <c r="N866" s="290" t="s">
        <v>4623</v>
      </c>
      <c r="O866" s="290" t="s">
        <v>4623</v>
      </c>
      <c r="P866" s="290" t="s">
        <v>999</v>
      </c>
      <c r="Q866" s="291" t="s">
        <v>4623</v>
      </c>
      <c r="R866" s="276"/>
      <c r="S866" s="277">
        <f>IF(OR(C866="",C866=T$4),NA(),MATCH($B866&amp;$C866,'Smelter Reference List'!$J:$J,0))</f>
        <v>283</v>
      </c>
      <c r="T866" s="278"/>
      <c r="U866" s="278"/>
      <c r="V866" s="278"/>
      <c r="W866" s="278"/>
    </row>
    <row r="867" spans="1:23" s="269" customFormat="1" ht="20.25">
      <c r="A867" s="267"/>
      <c r="B867" s="275" t="s">
        <v>2438</v>
      </c>
      <c r="C867" s="275" t="s">
        <v>3831</v>
      </c>
      <c r="D867" s="168" t="s">
        <v>6109</v>
      </c>
      <c r="E867" s="168" t="s">
        <v>2294</v>
      </c>
      <c r="F867" s="168" t="s">
        <v>4623</v>
      </c>
      <c r="G867" s="168" t="s">
        <v>4623</v>
      </c>
      <c r="H867" s="292" t="s">
        <v>6110</v>
      </c>
      <c r="I867" s="293" t="s">
        <v>4623</v>
      </c>
      <c r="J867" s="293" t="s">
        <v>4623</v>
      </c>
      <c r="K867" s="290" t="s">
        <v>4623</v>
      </c>
      <c r="L867" s="290" t="s">
        <v>4623</v>
      </c>
      <c r="M867" s="290" t="s">
        <v>4623</v>
      </c>
      <c r="N867" s="290" t="s">
        <v>4623</v>
      </c>
      <c r="O867" s="290" t="s">
        <v>6111</v>
      </c>
      <c r="P867" s="290" t="s">
        <v>999</v>
      </c>
      <c r="Q867" s="291" t="s">
        <v>4623</v>
      </c>
      <c r="R867" s="276"/>
      <c r="S867" s="277">
        <f>IF(OR(C867="",C867=T$4),NA(),MATCH($B867&amp;$C867,'Smelter Reference List'!$J:$J,0))</f>
        <v>283</v>
      </c>
      <c r="T867" s="278"/>
      <c r="U867" s="278"/>
      <c r="V867" s="278"/>
      <c r="W867" s="278"/>
    </row>
    <row r="868" spans="1:23" s="269" customFormat="1" ht="20.25">
      <c r="A868" s="267"/>
      <c r="B868" s="275" t="s">
        <v>2438</v>
      </c>
      <c r="C868" s="275" t="s">
        <v>3831</v>
      </c>
      <c r="D868" s="168" t="s">
        <v>6112</v>
      </c>
      <c r="E868" s="168" t="s">
        <v>2294</v>
      </c>
      <c r="F868" s="168" t="s">
        <v>2840</v>
      </c>
      <c r="G868" s="168" t="s">
        <v>4623</v>
      </c>
      <c r="H868" s="292" t="s">
        <v>6113</v>
      </c>
      <c r="I868" s="293" t="s">
        <v>6114</v>
      </c>
      <c r="J868" s="293" t="s">
        <v>4623</v>
      </c>
      <c r="K868" s="290" t="s">
        <v>6115</v>
      </c>
      <c r="L868" s="290" t="s">
        <v>6116</v>
      </c>
      <c r="M868" s="290" t="s">
        <v>4623</v>
      </c>
      <c r="N868" s="290" t="s">
        <v>4623</v>
      </c>
      <c r="O868" s="290" t="s">
        <v>4623</v>
      </c>
      <c r="P868" s="290" t="s">
        <v>999</v>
      </c>
      <c r="Q868" s="291" t="s">
        <v>6117</v>
      </c>
      <c r="R868" s="276"/>
      <c r="S868" s="277">
        <f>IF(OR(C868="",C868=T$4),NA(),MATCH($B868&amp;$C868,'Smelter Reference List'!$J:$J,0))</f>
        <v>283</v>
      </c>
      <c r="T868" s="278"/>
      <c r="U868" s="278"/>
      <c r="V868" s="278"/>
      <c r="W868" s="278"/>
    </row>
    <row r="869" spans="1:23" s="269" customFormat="1" ht="20.25">
      <c r="A869" s="267"/>
      <c r="B869" s="275" t="s">
        <v>2438</v>
      </c>
      <c r="C869" s="275" t="s">
        <v>3831</v>
      </c>
      <c r="D869" s="168" t="s">
        <v>6118</v>
      </c>
      <c r="E869" s="168" t="s">
        <v>2294</v>
      </c>
      <c r="F869" s="168" t="s">
        <v>4623</v>
      </c>
      <c r="G869" s="168" t="s">
        <v>4623</v>
      </c>
      <c r="H869" s="292" t="s">
        <v>6119</v>
      </c>
      <c r="I869" s="293" t="s">
        <v>4623</v>
      </c>
      <c r="J869" s="293" t="s">
        <v>4623</v>
      </c>
      <c r="K869" s="290" t="s">
        <v>6120</v>
      </c>
      <c r="L869" s="290" t="s">
        <v>6121</v>
      </c>
      <c r="M869" s="290" t="s">
        <v>4623</v>
      </c>
      <c r="N869" s="290" t="s">
        <v>4623</v>
      </c>
      <c r="O869" s="290" t="s">
        <v>4623</v>
      </c>
      <c r="P869" s="290" t="s">
        <v>999</v>
      </c>
      <c r="Q869" s="291" t="s">
        <v>4623</v>
      </c>
      <c r="R869" s="276"/>
      <c r="S869" s="277">
        <f>IF(OR(C869="",C869=T$4),NA(),MATCH($B869&amp;$C869,'Smelter Reference List'!$J:$J,0))</f>
        <v>283</v>
      </c>
      <c r="T869" s="278"/>
      <c r="U869" s="278"/>
      <c r="V869" s="278"/>
      <c r="W869" s="278"/>
    </row>
    <row r="870" spans="1:23" s="269" customFormat="1" ht="20.25">
      <c r="A870" s="267"/>
      <c r="B870" s="275" t="s">
        <v>2438</v>
      </c>
      <c r="C870" s="275" t="s">
        <v>3831</v>
      </c>
      <c r="D870" s="168" t="s">
        <v>6122</v>
      </c>
      <c r="E870" s="168" t="s">
        <v>2294</v>
      </c>
      <c r="F870" s="168" t="s">
        <v>4623</v>
      </c>
      <c r="G870" s="168" t="s">
        <v>4623</v>
      </c>
      <c r="H870" s="292" t="s">
        <v>4623</v>
      </c>
      <c r="I870" s="293" t="s">
        <v>4623</v>
      </c>
      <c r="J870" s="293" t="s">
        <v>4623</v>
      </c>
      <c r="K870" s="290" t="s">
        <v>4623</v>
      </c>
      <c r="L870" s="290" t="s">
        <v>4623</v>
      </c>
      <c r="M870" s="290" t="s">
        <v>4623</v>
      </c>
      <c r="N870" s="290" t="s">
        <v>4623</v>
      </c>
      <c r="O870" s="290" t="s">
        <v>4623</v>
      </c>
      <c r="P870" s="290" t="s">
        <v>999</v>
      </c>
      <c r="Q870" s="291" t="s">
        <v>4623</v>
      </c>
      <c r="R870" s="276"/>
      <c r="S870" s="277">
        <f>IF(OR(C870="",C870=T$4),NA(),MATCH($B870&amp;$C870,'Smelter Reference List'!$J:$J,0))</f>
        <v>283</v>
      </c>
      <c r="T870" s="278"/>
      <c r="U870" s="278"/>
      <c r="V870" s="278"/>
      <c r="W870" s="278"/>
    </row>
    <row r="871" spans="1:23" s="269" customFormat="1" ht="20.25">
      <c r="A871" s="267"/>
      <c r="B871" s="275" t="s">
        <v>2438</v>
      </c>
      <c r="C871" s="275" t="s">
        <v>3831</v>
      </c>
      <c r="D871" s="168" t="s">
        <v>5115</v>
      </c>
      <c r="E871" s="168" t="s">
        <v>2294</v>
      </c>
      <c r="F871" s="168" t="s">
        <v>4623</v>
      </c>
      <c r="G871" s="168" t="s">
        <v>4623</v>
      </c>
      <c r="H871" s="292" t="s">
        <v>5117</v>
      </c>
      <c r="I871" s="293" t="s">
        <v>3408</v>
      </c>
      <c r="J871" s="293" t="s">
        <v>6123</v>
      </c>
      <c r="K871" s="290" t="s">
        <v>6124</v>
      </c>
      <c r="L871" s="290" t="s">
        <v>5001</v>
      </c>
      <c r="M871" s="290" t="s">
        <v>3618</v>
      </c>
      <c r="N871" s="290" t="s">
        <v>4667</v>
      </c>
      <c r="O871" s="290" t="s">
        <v>6092</v>
      </c>
      <c r="P871" s="290" t="s">
        <v>999</v>
      </c>
      <c r="Q871" s="291" t="s">
        <v>4623</v>
      </c>
      <c r="R871" s="276"/>
      <c r="S871" s="277">
        <f>IF(OR(C871="",C871=T$4),NA(),MATCH($B871&amp;$C871,'Smelter Reference List'!$J:$J,0))</f>
        <v>283</v>
      </c>
      <c r="T871" s="278"/>
      <c r="U871" s="278"/>
      <c r="V871" s="278"/>
      <c r="W871" s="278"/>
    </row>
    <row r="872" spans="1:23" s="269" customFormat="1" ht="20.25">
      <c r="A872" s="267"/>
      <c r="B872" s="275" t="s">
        <v>2438</v>
      </c>
      <c r="C872" s="275" t="s">
        <v>3831</v>
      </c>
      <c r="D872" s="168" t="s">
        <v>6125</v>
      </c>
      <c r="E872" s="168" t="s">
        <v>2294</v>
      </c>
      <c r="F872" s="168" t="s">
        <v>4623</v>
      </c>
      <c r="G872" s="168" t="s">
        <v>4623</v>
      </c>
      <c r="H872" s="292" t="s">
        <v>4623</v>
      </c>
      <c r="I872" s="293" t="s">
        <v>4623</v>
      </c>
      <c r="J872" s="293" t="s">
        <v>4623</v>
      </c>
      <c r="K872" s="290" t="s">
        <v>4623</v>
      </c>
      <c r="L872" s="290" t="s">
        <v>4623</v>
      </c>
      <c r="M872" s="290" t="s">
        <v>4623</v>
      </c>
      <c r="N872" s="290" t="s">
        <v>4623</v>
      </c>
      <c r="O872" s="290" t="s">
        <v>4623</v>
      </c>
      <c r="P872" s="290" t="s">
        <v>999</v>
      </c>
      <c r="Q872" s="291" t="s">
        <v>4623</v>
      </c>
      <c r="R872" s="276"/>
      <c r="S872" s="277">
        <f>IF(OR(C872="",C872=T$4),NA(),MATCH($B872&amp;$C872,'Smelter Reference List'!$J:$J,0))</f>
        <v>283</v>
      </c>
      <c r="T872" s="278"/>
      <c r="U872" s="278"/>
      <c r="V872" s="278"/>
      <c r="W872" s="278"/>
    </row>
    <row r="873" spans="1:23" s="269" customFormat="1" ht="20.25">
      <c r="A873" s="267"/>
      <c r="B873" s="275" t="s">
        <v>2438</v>
      </c>
      <c r="C873" s="275" t="s">
        <v>3831</v>
      </c>
      <c r="D873" s="168" t="s">
        <v>6126</v>
      </c>
      <c r="E873" s="168" t="s">
        <v>2294</v>
      </c>
      <c r="F873" s="168" t="s">
        <v>4623</v>
      </c>
      <c r="G873" s="168" t="s">
        <v>4623</v>
      </c>
      <c r="H873" s="292" t="s">
        <v>4623</v>
      </c>
      <c r="I873" s="293" t="s">
        <v>4623</v>
      </c>
      <c r="J873" s="293" t="s">
        <v>4623</v>
      </c>
      <c r="K873" s="290" t="s">
        <v>4623</v>
      </c>
      <c r="L873" s="290" t="s">
        <v>4623</v>
      </c>
      <c r="M873" s="290" t="s">
        <v>4623</v>
      </c>
      <c r="N873" s="290" t="s">
        <v>4623</v>
      </c>
      <c r="O873" s="290" t="s">
        <v>4623</v>
      </c>
      <c r="P873" s="290" t="s">
        <v>999</v>
      </c>
      <c r="Q873" s="291" t="s">
        <v>4623</v>
      </c>
      <c r="R873" s="276"/>
      <c r="S873" s="277">
        <f>IF(OR(C873="",C873=T$4),NA(),MATCH($B873&amp;$C873,'Smelter Reference List'!$J:$J,0))</f>
        <v>283</v>
      </c>
      <c r="T873" s="278"/>
      <c r="U873" s="278"/>
      <c r="V873" s="278"/>
      <c r="W873" s="278"/>
    </row>
    <row r="874" spans="1:23" s="269" customFormat="1" ht="20.25">
      <c r="A874" s="267"/>
      <c r="B874" s="275" t="s">
        <v>2438</v>
      </c>
      <c r="C874" s="275" t="s">
        <v>3831</v>
      </c>
      <c r="D874" s="168" t="s">
        <v>6127</v>
      </c>
      <c r="E874" s="168" t="s">
        <v>2294</v>
      </c>
      <c r="F874" s="168" t="s">
        <v>4623</v>
      </c>
      <c r="G874" s="168" t="s">
        <v>4623</v>
      </c>
      <c r="H874" s="292" t="s">
        <v>6128</v>
      </c>
      <c r="I874" s="293" t="s">
        <v>6129</v>
      </c>
      <c r="J874" s="293" t="s">
        <v>3408</v>
      </c>
      <c r="K874" s="290" t="s">
        <v>6130</v>
      </c>
      <c r="L874" s="290" t="s">
        <v>5165</v>
      </c>
      <c r="M874" s="290" t="s">
        <v>4623</v>
      </c>
      <c r="N874" s="290" t="s">
        <v>4623</v>
      </c>
      <c r="O874" s="290" t="s">
        <v>4623</v>
      </c>
      <c r="P874" s="290" t="s">
        <v>999</v>
      </c>
      <c r="Q874" s="291" t="s">
        <v>4623</v>
      </c>
      <c r="R874" s="276"/>
      <c r="S874" s="277">
        <f>IF(OR(C874="",C874=T$4),NA(),MATCH($B874&amp;$C874,'Smelter Reference List'!$J:$J,0))</f>
        <v>283</v>
      </c>
      <c r="T874" s="278"/>
      <c r="U874" s="278"/>
      <c r="V874" s="278"/>
      <c r="W874" s="278"/>
    </row>
    <row r="875" spans="1:23" s="269" customFormat="1" ht="20.25">
      <c r="A875" s="267"/>
      <c r="B875" s="275" t="s">
        <v>2438</v>
      </c>
      <c r="C875" s="275" t="s">
        <v>3831</v>
      </c>
      <c r="D875" s="168" t="s">
        <v>6131</v>
      </c>
      <c r="E875" s="168" t="s">
        <v>2294</v>
      </c>
      <c r="F875" s="168" t="s">
        <v>4623</v>
      </c>
      <c r="G875" s="168" t="s">
        <v>4623</v>
      </c>
      <c r="H875" s="292" t="s">
        <v>4623</v>
      </c>
      <c r="I875" s="293" t="s">
        <v>4623</v>
      </c>
      <c r="J875" s="293" t="s">
        <v>4623</v>
      </c>
      <c r="K875" s="290" t="s">
        <v>4623</v>
      </c>
      <c r="L875" s="290" t="s">
        <v>4623</v>
      </c>
      <c r="M875" s="290" t="s">
        <v>4623</v>
      </c>
      <c r="N875" s="290" t="s">
        <v>4623</v>
      </c>
      <c r="O875" s="290" t="s">
        <v>4623</v>
      </c>
      <c r="P875" s="290" t="s">
        <v>999</v>
      </c>
      <c r="Q875" s="291" t="s">
        <v>4623</v>
      </c>
      <c r="R875" s="276"/>
      <c r="S875" s="277">
        <f>IF(OR(C875="",C875=T$4),NA(),MATCH($B875&amp;$C875,'Smelter Reference List'!$J:$J,0))</f>
        <v>283</v>
      </c>
      <c r="T875" s="278"/>
      <c r="U875" s="278"/>
      <c r="V875" s="278"/>
      <c r="W875" s="278"/>
    </row>
    <row r="876" spans="1:23" s="269" customFormat="1" ht="20.25">
      <c r="A876" s="267"/>
      <c r="B876" s="275" t="s">
        <v>2438</v>
      </c>
      <c r="C876" s="275" t="s">
        <v>3831</v>
      </c>
      <c r="D876" s="168" t="s">
        <v>6132</v>
      </c>
      <c r="E876" s="168" t="s">
        <v>2294</v>
      </c>
      <c r="F876" s="168" t="s">
        <v>4623</v>
      </c>
      <c r="G876" s="168" t="s">
        <v>4623</v>
      </c>
      <c r="H876" s="292" t="s">
        <v>4623</v>
      </c>
      <c r="I876" s="293" t="s">
        <v>4623</v>
      </c>
      <c r="J876" s="293" t="s">
        <v>4623</v>
      </c>
      <c r="K876" s="290" t="s">
        <v>4623</v>
      </c>
      <c r="L876" s="290" t="s">
        <v>4623</v>
      </c>
      <c r="M876" s="290" t="s">
        <v>4623</v>
      </c>
      <c r="N876" s="290" t="s">
        <v>4623</v>
      </c>
      <c r="O876" s="290" t="s">
        <v>4623</v>
      </c>
      <c r="P876" s="290" t="s">
        <v>999</v>
      </c>
      <c r="Q876" s="291" t="s">
        <v>4623</v>
      </c>
      <c r="R876" s="276"/>
      <c r="S876" s="277">
        <f>IF(OR(C876="",C876=T$4),NA(),MATCH($B876&amp;$C876,'Smelter Reference List'!$J:$J,0))</f>
        <v>283</v>
      </c>
      <c r="T876" s="278"/>
      <c r="U876" s="278"/>
      <c r="V876" s="278"/>
      <c r="W876" s="278"/>
    </row>
    <row r="877" spans="1:23" s="269" customFormat="1" ht="20.25">
      <c r="A877" s="267"/>
      <c r="B877" s="275" t="s">
        <v>2438</v>
      </c>
      <c r="C877" s="275" t="s">
        <v>3831</v>
      </c>
      <c r="D877" s="168" t="s">
        <v>6133</v>
      </c>
      <c r="E877" s="168" t="s">
        <v>2294</v>
      </c>
      <c r="F877" s="168" t="s">
        <v>4623</v>
      </c>
      <c r="G877" s="168" t="s">
        <v>4623</v>
      </c>
      <c r="H877" s="292" t="s">
        <v>4623</v>
      </c>
      <c r="I877" s="293" t="s">
        <v>4623</v>
      </c>
      <c r="J877" s="293" t="s">
        <v>4623</v>
      </c>
      <c r="K877" s="290" t="s">
        <v>4623</v>
      </c>
      <c r="L877" s="290" t="s">
        <v>4623</v>
      </c>
      <c r="M877" s="290" t="s">
        <v>4623</v>
      </c>
      <c r="N877" s="290" t="s">
        <v>4623</v>
      </c>
      <c r="O877" s="290" t="s">
        <v>4623</v>
      </c>
      <c r="P877" s="290" t="s">
        <v>999</v>
      </c>
      <c r="Q877" s="291" t="s">
        <v>4623</v>
      </c>
      <c r="R877" s="276"/>
      <c r="S877" s="277">
        <f>IF(OR(C877="",C877=T$4),NA(),MATCH($B877&amp;$C877,'Smelter Reference List'!$J:$J,0))</f>
        <v>283</v>
      </c>
      <c r="T877" s="278"/>
      <c r="U877" s="278"/>
      <c r="V877" s="278"/>
      <c r="W877" s="278"/>
    </row>
    <row r="878" spans="1:23" s="269" customFormat="1" ht="20.25">
      <c r="A878" s="267"/>
      <c r="B878" s="275" t="s">
        <v>2438</v>
      </c>
      <c r="C878" s="275" t="s">
        <v>3831</v>
      </c>
      <c r="D878" s="168" t="s">
        <v>6134</v>
      </c>
      <c r="E878" s="168" t="s">
        <v>2294</v>
      </c>
      <c r="F878" s="168" t="s">
        <v>6135</v>
      </c>
      <c r="G878" s="168" t="s">
        <v>3324</v>
      </c>
      <c r="H878" s="292" t="s">
        <v>4623</v>
      </c>
      <c r="I878" s="293" t="s">
        <v>4623</v>
      </c>
      <c r="J878" s="293" t="s">
        <v>4623</v>
      </c>
      <c r="K878" s="290" t="s">
        <v>4623</v>
      </c>
      <c r="L878" s="290" t="s">
        <v>4623</v>
      </c>
      <c r="M878" s="290" t="s">
        <v>4623</v>
      </c>
      <c r="N878" s="290" t="s">
        <v>4623</v>
      </c>
      <c r="O878" s="290" t="s">
        <v>4623</v>
      </c>
      <c r="P878" s="290" t="s">
        <v>999</v>
      </c>
      <c r="Q878" s="291" t="s">
        <v>4623</v>
      </c>
      <c r="R878" s="276"/>
      <c r="S878" s="277">
        <f>IF(OR(C878="",C878=T$4),NA(),MATCH($B878&amp;$C878,'Smelter Reference List'!$J:$J,0))</f>
        <v>283</v>
      </c>
      <c r="T878" s="278"/>
      <c r="U878" s="278"/>
      <c r="V878" s="278"/>
      <c r="W878" s="278"/>
    </row>
    <row r="879" spans="1:23" s="269" customFormat="1" ht="20.25">
      <c r="A879" s="267"/>
      <c r="B879" s="275" t="s">
        <v>2438</v>
      </c>
      <c r="C879" s="275" t="s">
        <v>3831</v>
      </c>
      <c r="D879" s="168" t="s">
        <v>6136</v>
      </c>
      <c r="E879" s="168" t="s">
        <v>2294</v>
      </c>
      <c r="F879" s="168" t="s">
        <v>4623</v>
      </c>
      <c r="G879" s="168" t="s">
        <v>4623</v>
      </c>
      <c r="H879" s="292" t="s">
        <v>6137</v>
      </c>
      <c r="I879" s="293" t="s">
        <v>6138</v>
      </c>
      <c r="J879" s="293" t="s">
        <v>3545</v>
      </c>
      <c r="K879" s="290" t="s">
        <v>4623</v>
      </c>
      <c r="L879" s="290" t="s">
        <v>4623</v>
      </c>
      <c r="M879" s="290" t="s">
        <v>4623</v>
      </c>
      <c r="N879" s="290" t="s">
        <v>4623</v>
      </c>
      <c r="O879" s="290" t="s">
        <v>4623</v>
      </c>
      <c r="P879" s="290" t="s">
        <v>999</v>
      </c>
      <c r="Q879" s="291" t="s">
        <v>4623</v>
      </c>
      <c r="R879" s="276"/>
      <c r="S879" s="277">
        <f>IF(OR(C879="",C879=T$4),NA(),MATCH($B879&amp;$C879,'Smelter Reference List'!$J:$J,0))</f>
        <v>283</v>
      </c>
      <c r="T879" s="278"/>
      <c r="U879" s="278"/>
      <c r="V879" s="278"/>
      <c r="W879" s="278"/>
    </row>
    <row r="880" spans="1:23" s="269" customFormat="1" ht="20.25">
      <c r="A880" s="267"/>
      <c r="B880" s="275" t="s">
        <v>2438</v>
      </c>
      <c r="C880" s="275" t="s">
        <v>3831</v>
      </c>
      <c r="D880" s="168" t="s">
        <v>5319</v>
      </c>
      <c r="E880" s="168" t="s">
        <v>2294</v>
      </c>
      <c r="F880" s="168" t="s">
        <v>4623</v>
      </c>
      <c r="G880" s="168" t="s">
        <v>4623</v>
      </c>
      <c r="H880" s="292" t="s">
        <v>6139</v>
      </c>
      <c r="I880" s="293" t="s">
        <v>4623</v>
      </c>
      <c r="J880" s="293" t="s">
        <v>4623</v>
      </c>
      <c r="K880" s="290" t="s">
        <v>6140</v>
      </c>
      <c r="L880" s="290" t="s">
        <v>6141</v>
      </c>
      <c r="M880" s="290" t="s">
        <v>4623</v>
      </c>
      <c r="N880" s="290" t="s">
        <v>4623</v>
      </c>
      <c r="O880" s="290" t="s">
        <v>4667</v>
      </c>
      <c r="P880" s="290" t="s">
        <v>999</v>
      </c>
      <c r="Q880" s="291" t="s">
        <v>4623</v>
      </c>
      <c r="R880" s="276"/>
      <c r="S880" s="277">
        <f>IF(OR(C880="",C880=T$4),NA(),MATCH($B880&amp;$C880,'Smelter Reference List'!$J:$J,0))</f>
        <v>283</v>
      </c>
      <c r="T880" s="278"/>
      <c r="U880" s="278"/>
      <c r="V880" s="278"/>
      <c r="W880" s="278"/>
    </row>
    <row r="881" spans="1:23" s="269" customFormat="1" ht="20.25">
      <c r="A881" s="267"/>
      <c r="B881" s="275" t="s">
        <v>2438</v>
      </c>
      <c r="C881" s="275" t="s">
        <v>3831</v>
      </c>
      <c r="D881" s="168" t="s">
        <v>6142</v>
      </c>
      <c r="E881" s="168" t="s">
        <v>2294</v>
      </c>
      <c r="F881" s="168" t="s">
        <v>4623</v>
      </c>
      <c r="G881" s="168" t="s">
        <v>4623</v>
      </c>
      <c r="H881" s="292" t="s">
        <v>4623</v>
      </c>
      <c r="I881" s="293" t="s">
        <v>4623</v>
      </c>
      <c r="J881" s="293" t="s">
        <v>4623</v>
      </c>
      <c r="K881" s="290" t="s">
        <v>4623</v>
      </c>
      <c r="L881" s="290" t="s">
        <v>4623</v>
      </c>
      <c r="M881" s="290" t="s">
        <v>4623</v>
      </c>
      <c r="N881" s="290" t="s">
        <v>4623</v>
      </c>
      <c r="O881" s="290" t="s">
        <v>4623</v>
      </c>
      <c r="P881" s="290" t="s">
        <v>999</v>
      </c>
      <c r="Q881" s="291" t="s">
        <v>4623</v>
      </c>
      <c r="R881" s="276"/>
      <c r="S881" s="277">
        <f>IF(OR(C881="",C881=T$4),NA(),MATCH($B881&amp;$C881,'Smelter Reference List'!$J:$J,0))</f>
        <v>283</v>
      </c>
      <c r="T881" s="278"/>
      <c r="U881" s="278"/>
      <c r="V881" s="278"/>
      <c r="W881" s="278"/>
    </row>
    <row r="882" spans="1:23" s="269" customFormat="1" ht="20.25">
      <c r="A882" s="267"/>
      <c r="B882" s="275" t="s">
        <v>2438</v>
      </c>
      <c r="C882" s="275" t="s">
        <v>3831</v>
      </c>
      <c r="D882" s="168" t="s">
        <v>5332</v>
      </c>
      <c r="E882" s="168" t="s">
        <v>2294</v>
      </c>
      <c r="F882" s="168" t="s">
        <v>4623</v>
      </c>
      <c r="G882" s="168" t="s">
        <v>4623</v>
      </c>
      <c r="H882" s="292" t="s">
        <v>4623</v>
      </c>
      <c r="I882" s="293" t="s">
        <v>3656</v>
      </c>
      <c r="J882" s="293" t="s">
        <v>4623</v>
      </c>
      <c r="K882" s="290" t="s">
        <v>4623</v>
      </c>
      <c r="L882" s="290" t="s">
        <v>4623</v>
      </c>
      <c r="M882" s="290" t="s">
        <v>4623</v>
      </c>
      <c r="N882" s="290" t="s">
        <v>4623</v>
      </c>
      <c r="O882" s="290" t="s">
        <v>4623</v>
      </c>
      <c r="P882" s="290" t="s">
        <v>999</v>
      </c>
      <c r="Q882" s="291" t="s">
        <v>4623</v>
      </c>
      <c r="R882" s="276"/>
      <c r="S882" s="277">
        <f>IF(OR(C882="",C882=T$4),NA(),MATCH($B882&amp;$C882,'Smelter Reference List'!$J:$J,0))</f>
        <v>283</v>
      </c>
      <c r="T882" s="278"/>
      <c r="U882" s="278"/>
      <c r="V882" s="278"/>
      <c r="W882" s="278"/>
    </row>
    <row r="883" spans="1:23" s="269" customFormat="1" ht="20.25">
      <c r="A883" s="267"/>
      <c r="B883" s="275" t="s">
        <v>2438</v>
      </c>
      <c r="C883" s="275" t="s">
        <v>3831</v>
      </c>
      <c r="D883" s="168" t="s">
        <v>6143</v>
      </c>
      <c r="E883" s="168" t="s">
        <v>2294</v>
      </c>
      <c r="F883" s="168" t="s">
        <v>4623</v>
      </c>
      <c r="G883" s="168" t="s">
        <v>4623</v>
      </c>
      <c r="H883" s="292" t="s">
        <v>4623</v>
      </c>
      <c r="I883" s="293" t="s">
        <v>4623</v>
      </c>
      <c r="J883" s="293" t="s">
        <v>4623</v>
      </c>
      <c r="K883" s="290" t="s">
        <v>4623</v>
      </c>
      <c r="L883" s="290" t="s">
        <v>4623</v>
      </c>
      <c r="M883" s="290" t="s">
        <v>4623</v>
      </c>
      <c r="N883" s="290" t="s">
        <v>4623</v>
      </c>
      <c r="O883" s="290" t="s">
        <v>4623</v>
      </c>
      <c r="P883" s="290" t="s">
        <v>999</v>
      </c>
      <c r="Q883" s="291" t="s">
        <v>4623</v>
      </c>
      <c r="R883" s="276"/>
      <c r="S883" s="277">
        <f>IF(OR(C883="",C883=T$4),NA(),MATCH($B883&amp;$C883,'Smelter Reference List'!$J:$J,0))</f>
        <v>283</v>
      </c>
      <c r="T883" s="278"/>
      <c r="U883" s="278"/>
      <c r="V883" s="278"/>
      <c r="W883" s="278"/>
    </row>
    <row r="884" spans="1:23" s="269" customFormat="1" ht="20.25">
      <c r="A884" s="267"/>
      <c r="B884" s="275" t="s">
        <v>2438</v>
      </c>
      <c r="C884" s="275" t="s">
        <v>3831</v>
      </c>
      <c r="D884" s="168" t="s">
        <v>6144</v>
      </c>
      <c r="E884" s="168" t="s">
        <v>2294</v>
      </c>
      <c r="F884" s="168" t="s">
        <v>94</v>
      </c>
      <c r="G884" s="168" t="s">
        <v>3324</v>
      </c>
      <c r="H884" s="292" t="s">
        <v>4623</v>
      </c>
      <c r="I884" s="293" t="s">
        <v>4623</v>
      </c>
      <c r="J884" s="293" t="s">
        <v>4623</v>
      </c>
      <c r="K884" s="290" t="s">
        <v>4623</v>
      </c>
      <c r="L884" s="290" t="s">
        <v>4623</v>
      </c>
      <c r="M884" s="290" t="s">
        <v>4623</v>
      </c>
      <c r="N884" s="290" t="s">
        <v>4623</v>
      </c>
      <c r="O884" s="290" t="s">
        <v>4623</v>
      </c>
      <c r="P884" s="290" t="s">
        <v>999</v>
      </c>
      <c r="Q884" s="291" t="s">
        <v>4623</v>
      </c>
      <c r="R884" s="276"/>
      <c r="S884" s="277">
        <f>IF(OR(C884="",C884=T$4),NA(),MATCH($B884&amp;$C884,'Smelter Reference List'!$J:$J,0))</f>
        <v>283</v>
      </c>
      <c r="T884" s="278"/>
      <c r="U884" s="278"/>
      <c r="V884" s="278"/>
      <c r="W884" s="278"/>
    </row>
    <row r="885" spans="1:23" s="269" customFormat="1" ht="20.25">
      <c r="A885" s="267"/>
      <c r="B885" s="275" t="s">
        <v>2438</v>
      </c>
      <c r="C885" s="275" t="s">
        <v>3831</v>
      </c>
      <c r="D885" s="168" t="s">
        <v>5416</v>
      </c>
      <c r="E885" s="168" t="s">
        <v>2320</v>
      </c>
      <c r="F885" s="168" t="s">
        <v>4623</v>
      </c>
      <c r="G885" s="168" t="s">
        <v>4623</v>
      </c>
      <c r="H885" s="292" t="s">
        <v>5418</v>
      </c>
      <c r="I885" s="293" t="s">
        <v>5419</v>
      </c>
      <c r="J885" s="293" t="s">
        <v>6145</v>
      </c>
      <c r="K885" s="290" t="s">
        <v>5420</v>
      </c>
      <c r="L885" s="290" t="s">
        <v>5001</v>
      </c>
      <c r="M885" s="290" t="s">
        <v>5421</v>
      </c>
      <c r="N885" s="290" t="s">
        <v>5422</v>
      </c>
      <c r="O885" s="290" t="s">
        <v>6092</v>
      </c>
      <c r="P885" s="290" t="s">
        <v>999</v>
      </c>
      <c r="Q885" s="291" t="s">
        <v>4623</v>
      </c>
      <c r="R885" s="276"/>
      <c r="S885" s="277">
        <f>IF(OR(C885="",C885=T$4),NA(),MATCH($B885&amp;$C885,'Smelter Reference List'!$J:$J,0))</f>
        <v>283</v>
      </c>
      <c r="T885" s="278"/>
      <c r="U885" s="278"/>
      <c r="V885" s="278"/>
      <c r="W885" s="278"/>
    </row>
    <row r="886" spans="1:23" s="269" customFormat="1" ht="20.25">
      <c r="A886" s="267"/>
      <c r="B886" s="275" t="s">
        <v>2438</v>
      </c>
      <c r="C886" s="275" t="s">
        <v>3831</v>
      </c>
      <c r="D886" s="168" t="s">
        <v>6146</v>
      </c>
      <c r="E886" s="168" t="s">
        <v>2324</v>
      </c>
      <c r="F886" s="168" t="s">
        <v>4623</v>
      </c>
      <c r="G886" s="168" t="s">
        <v>4623</v>
      </c>
      <c r="H886" s="292" t="s">
        <v>4623</v>
      </c>
      <c r="I886" s="293" t="s">
        <v>4623</v>
      </c>
      <c r="J886" s="293" t="s">
        <v>4623</v>
      </c>
      <c r="K886" s="290" t="s">
        <v>4623</v>
      </c>
      <c r="L886" s="290" t="s">
        <v>4623</v>
      </c>
      <c r="M886" s="290" t="s">
        <v>4623</v>
      </c>
      <c r="N886" s="290" t="s">
        <v>4623</v>
      </c>
      <c r="O886" s="290" t="s">
        <v>4623</v>
      </c>
      <c r="P886" s="290" t="s">
        <v>999</v>
      </c>
      <c r="Q886" s="291" t="s">
        <v>4623</v>
      </c>
      <c r="R886" s="276"/>
      <c r="S886" s="277">
        <f>IF(OR(C886="",C886=T$4),NA(),MATCH($B886&amp;$C886,'Smelter Reference List'!$J:$J,0))</f>
        <v>283</v>
      </c>
      <c r="T886" s="278"/>
      <c r="U886" s="278"/>
      <c r="V886" s="278"/>
      <c r="W886" s="278"/>
    </row>
    <row r="887" spans="1:23" s="269" customFormat="1" ht="20.25">
      <c r="A887" s="267"/>
      <c r="B887" s="275" t="s">
        <v>2438</v>
      </c>
      <c r="C887" s="275" t="s">
        <v>3831</v>
      </c>
      <c r="D887" s="168" t="s">
        <v>6147</v>
      </c>
      <c r="E887" s="168" t="s">
        <v>2308</v>
      </c>
      <c r="F887" s="168" t="s">
        <v>4623</v>
      </c>
      <c r="G887" s="168" t="s">
        <v>4623</v>
      </c>
      <c r="H887" s="292" t="s">
        <v>4623</v>
      </c>
      <c r="I887" s="293" t="s">
        <v>4623</v>
      </c>
      <c r="J887" s="293" t="s">
        <v>4623</v>
      </c>
      <c r="K887" s="290" t="s">
        <v>4623</v>
      </c>
      <c r="L887" s="290" t="s">
        <v>4623</v>
      </c>
      <c r="M887" s="290" t="s">
        <v>4623</v>
      </c>
      <c r="N887" s="290" t="s">
        <v>4623</v>
      </c>
      <c r="O887" s="290" t="s">
        <v>4623</v>
      </c>
      <c r="P887" s="290" t="s">
        <v>999</v>
      </c>
      <c r="Q887" s="291" t="s">
        <v>4623</v>
      </c>
      <c r="R887" s="276"/>
      <c r="S887" s="277">
        <f>IF(OR(C887="",C887=T$4),NA(),MATCH($B887&amp;$C887,'Smelter Reference List'!$J:$J,0))</f>
        <v>283</v>
      </c>
      <c r="T887" s="278"/>
      <c r="U887" s="278"/>
      <c r="V887" s="278"/>
      <c r="W887" s="278"/>
    </row>
    <row r="888" spans="1:23" s="269" customFormat="1" ht="20.25">
      <c r="A888" s="267"/>
      <c r="B888" s="275" t="s">
        <v>2438</v>
      </c>
      <c r="C888" s="275" t="s">
        <v>3831</v>
      </c>
      <c r="D888" s="168" t="s">
        <v>6148</v>
      </c>
      <c r="E888" s="168" t="s">
        <v>2308</v>
      </c>
      <c r="F888" s="168" t="s">
        <v>6149</v>
      </c>
      <c r="G888" s="168" t="s">
        <v>3324</v>
      </c>
      <c r="H888" s="292" t="s">
        <v>6150</v>
      </c>
      <c r="I888" s="293" t="s">
        <v>3632</v>
      </c>
      <c r="J888" s="293" t="s">
        <v>6151</v>
      </c>
      <c r="K888" s="290" t="s">
        <v>6152</v>
      </c>
      <c r="L888" s="290" t="s">
        <v>5440</v>
      </c>
      <c r="M888" s="290" t="s">
        <v>4623</v>
      </c>
      <c r="N888" s="290" t="s">
        <v>6153</v>
      </c>
      <c r="O888" s="290" t="s">
        <v>6154</v>
      </c>
      <c r="P888" s="290" t="s">
        <v>999</v>
      </c>
      <c r="Q888" s="291" t="s">
        <v>6155</v>
      </c>
      <c r="R888" s="276"/>
      <c r="S888" s="277">
        <f>IF(OR(C888="",C888=T$4),NA(),MATCH($B888&amp;$C888,'Smelter Reference List'!$J:$J,0))</f>
        <v>283</v>
      </c>
      <c r="T888" s="278"/>
      <c r="U888" s="278"/>
      <c r="V888" s="278"/>
      <c r="W888" s="278"/>
    </row>
    <row r="889" spans="1:23" s="269" customFormat="1" ht="20.25">
      <c r="A889" s="267"/>
      <c r="B889" s="275" t="s">
        <v>2438</v>
      </c>
      <c r="C889" s="275" t="s">
        <v>3831</v>
      </c>
      <c r="D889" s="168" t="s">
        <v>6156</v>
      </c>
      <c r="E889" s="168" t="s">
        <v>2308</v>
      </c>
      <c r="F889" s="168" t="s">
        <v>4623</v>
      </c>
      <c r="G889" s="168" t="s">
        <v>4623</v>
      </c>
      <c r="H889" s="292" t="s">
        <v>4623</v>
      </c>
      <c r="I889" s="293" t="s">
        <v>4623</v>
      </c>
      <c r="J889" s="293" t="s">
        <v>4623</v>
      </c>
      <c r="K889" s="290" t="s">
        <v>4623</v>
      </c>
      <c r="L889" s="290" t="s">
        <v>4623</v>
      </c>
      <c r="M889" s="290" t="s">
        <v>4623</v>
      </c>
      <c r="N889" s="290" t="s">
        <v>4623</v>
      </c>
      <c r="O889" s="290" t="s">
        <v>4623</v>
      </c>
      <c r="P889" s="290" t="s">
        <v>999</v>
      </c>
      <c r="Q889" s="291" t="s">
        <v>4623</v>
      </c>
      <c r="R889" s="276"/>
      <c r="S889" s="277">
        <f>IF(OR(C889="",C889=T$4),NA(),MATCH($B889&amp;$C889,'Smelter Reference List'!$J:$J,0))</f>
        <v>283</v>
      </c>
      <c r="T889" s="278"/>
      <c r="U889" s="278"/>
      <c r="V889" s="278"/>
      <c r="W889" s="278"/>
    </row>
    <row r="890" spans="1:23" s="269" customFormat="1" ht="20.25">
      <c r="A890" s="267"/>
      <c r="B890" s="275" t="s">
        <v>2438</v>
      </c>
      <c r="C890" s="275" t="s">
        <v>3831</v>
      </c>
      <c r="D890" s="168" t="s">
        <v>6157</v>
      </c>
      <c r="E890" s="168" t="s">
        <v>2308</v>
      </c>
      <c r="F890" s="168" t="s">
        <v>4623</v>
      </c>
      <c r="G890" s="168" t="s">
        <v>4623</v>
      </c>
      <c r="H890" s="292" t="s">
        <v>6158</v>
      </c>
      <c r="I890" s="293" t="s">
        <v>6159</v>
      </c>
      <c r="J890" s="293" t="s">
        <v>4623</v>
      </c>
      <c r="K890" s="290" t="s">
        <v>4623</v>
      </c>
      <c r="L890" s="290" t="s">
        <v>4623</v>
      </c>
      <c r="M890" s="290" t="s">
        <v>4623</v>
      </c>
      <c r="N890" s="290" t="s">
        <v>4623</v>
      </c>
      <c r="O890" s="290" t="s">
        <v>4623</v>
      </c>
      <c r="P890" s="290" t="s">
        <v>999</v>
      </c>
      <c r="Q890" s="291" t="s">
        <v>4623</v>
      </c>
      <c r="R890" s="276"/>
      <c r="S890" s="277">
        <f>IF(OR(C890="",C890=T$4),NA(),MATCH($B890&amp;$C890,'Smelter Reference List'!$J:$J,0))</f>
        <v>283</v>
      </c>
      <c r="T890" s="278"/>
      <c r="U890" s="278"/>
      <c r="V890" s="278"/>
      <c r="W890" s="278"/>
    </row>
    <row r="891" spans="1:23" s="269" customFormat="1" ht="20.25">
      <c r="A891" s="267"/>
      <c r="B891" s="275" t="s">
        <v>2438</v>
      </c>
      <c r="C891" s="275" t="s">
        <v>3831</v>
      </c>
      <c r="D891" s="168" t="s">
        <v>6160</v>
      </c>
      <c r="E891" s="168" t="s">
        <v>2308</v>
      </c>
      <c r="F891" s="168" t="s">
        <v>4623</v>
      </c>
      <c r="G891" s="168" t="s">
        <v>4623</v>
      </c>
      <c r="H891" s="292" t="s">
        <v>4623</v>
      </c>
      <c r="I891" s="293" t="s">
        <v>4623</v>
      </c>
      <c r="J891" s="293" t="s">
        <v>4623</v>
      </c>
      <c r="K891" s="290" t="s">
        <v>4623</v>
      </c>
      <c r="L891" s="290" t="s">
        <v>4623</v>
      </c>
      <c r="M891" s="290" t="s">
        <v>4623</v>
      </c>
      <c r="N891" s="290" t="s">
        <v>4623</v>
      </c>
      <c r="O891" s="290" t="s">
        <v>4623</v>
      </c>
      <c r="P891" s="290" t="s">
        <v>999</v>
      </c>
      <c r="Q891" s="291" t="s">
        <v>4623</v>
      </c>
      <c r="R891" s="276"/>
      <c r="S891" s="277">
        <f>IF(OR(C891="",C891=T$4),NA(),MATCH($B891&amp;$C891,'Smelter Reference List'!$J:$J,0))</f>
        <v>283</v>
      </c>
      <c r="T891" s="278"/>
      <c r="U891" s="278"/>
      <c r="V891" s="278"/>
      <c r="W891" s="278"/>
    </row>
    <row r="892" spans="1:23" s="269" customFormat="1" ht="20.25">
      <c r="A892" s="267"/>
      <c r="B892" s="275" t="s">
        <v>2438</v>
      </c>
      <c r="C892" s="275" t="s">
        <v>3831</v>
      </c>
      <c r="D892" s="168" t="s">
        <v>6161</v>
      </c>
      <c r="E892" s="168" t="s">
        <v>2308</v>
      </c>
      <c r="F892" s="168" t="s">
        <v>4623</v>
      </c>
      <c r="G892" s="168" t="s">
        <v>4623</v>
      </c>
      <c r="H892" s="292" t="s">
        <v>4623</v>
      </c>
      <c r="I892" s="293" t="s">
        <v>4623</v>
      </c>
      <c r="J892" s="293" t="s">
        <v>4623</v>
      </c>
      <c r="K892" s="290" t="s">
        <v>4623</v>
      </c>
      <c r="L892" s="290" t="s">
        <v>4623</v>
      </c>
      <c r="M892" s="290" t="s">
        <v>4623</v>
      </c>
      <c r="N892" s="290" t="s">
        <v>4623</v>
      </c>
      <c r="O892" s="290" t="s">
        <v>6022</v>
      </c>
      <c r="P892" s="290" t="s">
        <v>999</v>
      </c>
      <c r="Q892" s="291" t="s">
        <v>4623</v>
      </c>
      <c r="R892" s="276"/>
      <c r="S892" s="277">
        <f>IF(OR(C892="",C892=T$4),NA(),MATCH($B892&amp;$C892,'Smelter Reference List'!$J:$J,0))</f>
        <v>283</v>
      </c>
      <c r="T892" s="278"/>
      <c r="U892" s="278"/>
      <c r="V892" s="278"/>
      <c r="W892" s="278"/>
    </row>
    <row r="893" spans="1:23" s="269" customFormat="1" ht="20.25">
      <c r="A893" s="267"/>
      <c r="B893" s="275" t="s">
        <v>2438</v>
      </c>
      <c r="C893" s="275" t="s">
        <v>3831</v>
      </c>
      <c r="D893" s="168" t="s">
        <v>6162</v>
      </c>
      <c r="E893" s="168" t="s">
        <v>2352</v>
      </c>
      <c r="F893" s="168" t="s">
        <v>4623</v>
      </c>
      <c r="G893" s="168" t="s">
        <v>4623</v>
      </c>
      <c r="H893" s="292" t="s">
        <v>4623</v>
      </c>
      <c r="I893" s="293" t="s">
        <v>4623</v>
      </c>
      <c r="J893" s="293" t="s">
        <v>4623</v>
      </c>
      <c r="K893" s="290" t="s">
        <v>4623</v>
      </c>
      <c r="L893" s="290" t="s">
        <v>4623</v>
      </c>
      <c r="M893" s="290" t="s">
        <v>4623</v>
      </c>
      <c r="N893" s="290" t="s">
        <v>4623</v>
      </c>
      <c r="O893" s="290" t="s">
        <v>4623</v>
      </c>
      <c r="P893" s="290" t="s">
        <v>999</v>
      </c>
      <c r="Q893" s="291" t="s">
        <v>4623</v>
      </c>
      <c r="R893" s="276"/>
      <c r="S893" s="277">
        <f>IF(OR(C893="",C893=T$4),NA(),MATCH($B893&amp;$C893,'Smelter Reference List'!$J:$J,0))</f>
        <v>283</v>
      </c>
      <c r="T893" s="278"/>
      <c r="U893" s="278"/>
      <c r="V893" s="278"/>
      <c r="W893" s="278"/>
    </row>
    <row r="894" spans="1:23" s="269" customFormat="1" ht="20.25">
      <c r="A894" s="267"/>
      <c r="B894" s="275" t="s">
        <v>2438</v>
      </c>
      <c r="C894" s="275" t="s">
        <v>3831</v>
      </c>
      <c r="D894" s="168" t="s">
        <v>5563</v>
      </c>
      <c r="E894" s="168" t="s">
        <v>2351</v>
      </c>
      <c r="F894" s="168" t="s">
        <v>4623</v>
      </c>
      <c r="G894" s="168" t="s">
        <v>4623</v>
      </c>
      <c r="H894" s="292" t="s">
        <v>4623</v>
      </c>
      <c r="I894" s="293" t="s">
        <v>4623</v>
      </c>
      <c r="J894" s="293" t="s">
        <v>4623</v>
      </c>
      <c r="K894" s="290" t="s">
        <v>4623</v>
      </c>
      <c r="L894" s="290" t="s">
        <v>4623</v>
      </c>
      <c r="M894" s="290" t="s">
        <v>4623</v>
      </c>
      <c r="N894" s="290" t="s">
        <v>4623</v>
      </c>
      <c r="O894" s="290" t="s">
        <v>4623</v>
      </c>
      <c r="P894" s="290" t="s">
        <v>999</v>
      </c>
      <c r="Q894" s="291" t="s">
        <v>4623</v>
      </c>
      <c r="R894" s="276"/>
      <c r="S894" s="277">
        <f>IF(OR(C894="",C894=T$4),NA(),MATCH($B894&amp;$C894,'Smelter Reference List'!$J:$J,0))</f>
        <v>283</v>
      </c>
      <c r="T894" s="278"/>
      <c r="U894" s="278"/>
      <c r="V894" s="278"/>
      <c r="W894" s="278"/>
    </row>
    <row r="895" spans="1:23" s="269" customFormat="1" ht="20.25">
      <c r="A895" s="267"/>
      <c r="B895" s="275" t="s">
        <v>2438</v>
      </c>
      <c r="C895" s="275" t="s">
        <v>3831</v>
      </c>
      <c r="D895" s="168" t="s">
        <v>6163</v>
      </c>
      <c r="E895" s="168" t="s">
        <v>2362</v>
      </c>
      <c r="F895" s="168" t="s">
        <v>4623</v>
      </c>
      <c r="G895" s="168" t="s">
        <v>4623</v>
      </c>
      <c r="H895" s="292" t="s">
        <v>6164</v>
      </c>
      <c r="I895" s="293" t="s">
        <v>5659</v>
      </c>
      <c r="J895" s="293" t="s">
        <v>6165</v>
      </c>
      <c r="K895" s="290" t="s">
        <v>4623</v>
      </c>
      <c r="L895" s="290" t="s">
        <v>4623</v>
      </c>
      <c r="M895" s="290" t="s">
        <v>4623</v>
      </c>
      <c r="N895" s="290" t="s">
        <v>4623</v>
      </c>
      <c r="O895" s="290" t="s">
        <v>4623</v>
      </c>
      <c r="P895" s="290" t="s">
        <v>999</v>
      </c>
      <c r="Q895" s="291" t="s">
        <v>4623</v>
      </c>
      <c r="R895" s="276"/>
      <c r="S895" s="277">
        <f>IF(OR(C895="",C895=T$4),NA(),MATCH($B895&amp;$C895,'Smelter Reference List'!$J:$J,0))</f>
        <v>283</v>
      </c>
      <c r="T895" s="278"/>
      <c r="U895" s="278"/>
      <c r="V895" s="278"/>
      <c r="W895" s="278"/>
    </row>
    <row r="896" spans="1:23" s="269" customFormat="1" ht="20.25">
      <c r="A896" s="267"/>
      <c r="B896" s="275" t="s">
        <v>2438</v>
      </c>
      <c r="C896" s="275" t="s">
        <v>3831</v>
      </c>
      <c r="D896" s="168" t="s">
        <v>3777</v>
      </c>
      <c r="E896" s="168" t="s">
        <v>2362</v>
      </c>
      <c r="F896" s="168" t="s">
        <v>4623</v>
      </c>
      <c r="G896" s="168" t="s">
        <v>4623</v>
      </c>
      <c r="H896" s="292" t="s">
        <v>4623</v>
      </c>
      <c r="I896" s="293" t="s">
        <v>4623</v>
      </c>
      <c r="J896" s="293" t="s">
        <v>4623</v>
      </c>
      <c r="K896" s="290" t="s">
        <v>4623</v>
      </c>
      <c r="L896" s="290" t="s">
        <v>4623</v>
      </c>
      <c r="M896" s="290" t="s">
        <v>4623</v>
      </c>
      <c r="N896" s="290" t="s">
        <v>4623</v>
      </c>
      <c r="O896" s="290" t="s">
        <v>4623</v>
      </c>
      <c r="P896" s="290" t="s">
        <v>999</v>
      </c>
      <c r="Q896" s="291" t="s">
        <v>4623</v>
      </c>
      <c r="R896" s="276"/>
      <c r="S896" s="277">
        <f>IF(OR(C896="",C896=T$4),NA(),MATCH($B896&amp;$C896,'Smelter Reference List'!$J:$J,0))</f>
        <v>283</v>
      </c>
      <c r="T896" s="278"/>
      <c r="U896" s="278"/>
      <c r="V896" s="278"/>
      <c r="W896" s="278"/>
    </row>
    <row r="897" spans="1:23" s="269" customFormat="1" ht="20.25">
      <c r="A897" s="267"/>
      <c r="B897" s="275" t="s">
        <v>2438</v>
      </c>
      <c r="C897" s="275" t="s">
        <v>3831</v>
      </c>
      <c r="D897" s="168" t="s">
        <v>6166</v>
      </c>
      <c r="E897" s="168" t="s">
        <v>2362</v>
      </c>
      <c r="F897" s="168" t="s">
        <v>4623</v>
      </c>
      <c r="G897" s="168" t="s">
        <v>4623</v>
      </c>
      <c r="H897" s="292" t="s">
        <v>4623</v>
      </c>
      <c r="I897" s="293" t="s">
        <v>4623</v>
      </c>
      <c r="J897" s="293" t="s">
        <v>4623</v>
      </c>
      <c r="K897" s="290" t="s">
        <v>4623</v>
      </c>
      <c r="L897" s="290" t="s">
        <v>4623</v>
      </c>
      <c r="M897" s="290" t="s">
        <v>4623</v>
      </c>
      <c r="N897" s="290" t="s">
        <v>4623</v>
      </c>
      <c r="O897" s="290" t="s">
        <v>4623</v>
      </c>
      <c r="P897" s="290" t="s">
        <v>999</v>
      </c>
      <c r="Q897" s="291" t="s">
        <v>4623</v>
      </c>
      <c r="R897" s="276"/>
      <c r="S897" s="277">
        <f>IF(OR(C897="",C897=T$4),NA(),MATCH($B897&amp;$C897,'Smelter Reference List'!$J:$J,0))</f>
        <v>283</v>
      </c>
      <c r="T897" s="278"/>
      <c r="U897" s="278"/>
      <c r="V897" s="278"/>
      <c r="W897" s="278"/>
    </row>
    <row r="898" spans="1:23" s="269" customFormat="1" ht="20.25">
      <c r="A898" s="267"/>
      <c r="B898" s="275" t="s">
        <v>2438</v>
      </c>
      <c r="C898" s="275" t="s">
        <v>3831</v>
      </c>
      <c r="D898" s="168" t="s">
        <v>6167</v>
      </c>
      <c r="E898" s="168" t="s">
        <v>2362</v>
      </c>
      <c r="F898" s="168" t="s">
        <v>4623</v>
      </c>
      <c r="G898" s="168" t="s">
        <v>4623</v>
      </c>
      <c r="H898" s="292" t="s">
        <v>4623</v>
      </c>
      <c r="I898" s="293" t="s">
        <v>4623</v>
      </c>
      <c r="J898" s="293" t="s">
        <v>4623</v>
      </c>
      <c r="K898" s="290" t="s">
        <v>4623</v>
      </c>
      <c r="L898" s="290" t="s">
        <v>4623</v>
      </c>
      <c r="M898" s="290" t="s">
        <v>4623</v>
      </c>
      <c r="N898" s="290" t="s">
        <v>4623</v>
      </c>
      <c r="O898" s="290" t="s">
        <v>4623</v>
      </c>
      <c r="P898" s="290" t="s">
        <v>999</v>
      </c>
      <c r="Q898" s="291" t="s">
        <v>4623</v>
      </c>
      <c r="R898" s="276"/>
      <c r="S898" s="277">
        <f>IF(OR(C898="",C898=T$4),NA(),MATCH($B898&amp;$C898,'Smelter Reference List'!$J:$J,0))</f>
        <v>283</v>
      </c>
      <c r="T898" s="278"/>
      <c r="U898" s="278"/>
      <c r="V898" s="278"/>
      <c r="W898" s="278"/>
    </row>
    <row r="899" spans="1:23" s="269" customFormat="1" ht="20.25">
      <c r="A899" s="267"/>
      <c r="B899" s="275" t="s">
        <v>2438</v>
      </c>
      <c r="C899" s="275" t="s">
        <v>3831</v>
      </c>
      <c r="D899" s="168" t="s">
        <v>6168</v>
      </c>
      <c r="E899" s="168" t="s">
        <v>2362</v>
      </c>
      <c r="F899" s="168" t="s">
        <v>4623</v>
      </c>
      <c r="G899" s="168" t="s">
        <v>4623</v>
      </c>
      <c r="H899" s="292" t="s">
        <v>4623</v>
      </c>
      <c r="I899" s="293" t="s">
        <v>4623</v>
      </c>
      <c r="J899" s="293" t="s">
        <v>3405</v>
      </c>
      <c r="K899" s="290" t="s">
        <v>6169</v>
      </c>
      <c r="L899" s="290" t="s">
        <v>6170</v>
      </c>
      <c r="M899" s="290" t="s">
        <v>4623</v>
      </c>
      <c r="N899" s="290" t="s">
        <v>4623</v>
      </c>
      <c r="O899" s="290" t="s">
        <v>4667</v>
      </c>
      <c r="P899" s="290" t="s">
        <v>999</v>
      </c>
      <c r="Q899" s="291" t="s">
        <v>4623</v>
      </c>
      <c r="R899" s="276"/>
      <c r="S899" s="277">
        <f>IF(OR(C899="",C899=T$4),NA(),MATCH($B899&amp;$C899,'Smelter Reference List'!$J:$J,0))</f>
        <v>283</v>
      </c>
      <c r="T899" s="278"/>
      <c r="U899" s="278"/>
      <c r="V899" s="278"/>
      <c r="W899" s="278"/>
    </row>
    <row r="900" spans="1:23" s="269" customFormat="1" ht="20.25">
      <c r="A900" s="267"/>
      <c r="B900" s="275" t="s">
        <v>2438</v>
      </c>
      <c r="C900" s="275" t="s">
        <v>3831</v>
      </c>
      <c r="D900" s="168" t="s">
        <v>6171</v>
      </c>
      <c r="E900" s="168" t="s">
        <v>2362</v>
      </c>
      <c r="F900" s="168" t="s">
        <v>4623</v>
      </c>
      <c r="G900" s="168" t="s">
        <v>4623</v>
      </c>
      <c r="H900" s="292" t="s">
        <v>4623</v>
      </c>
      <c r="I900" s="293" t="s">
        <v>4623</v>
      </c>
      <c r="J900" s="293" t="s">
        <v>4623</v>
      </c>
      <c r="K900" s="290" t="s">
        <v>4623</v>
      </c>
      <c r="L900" s="290" t="s">
        <v>4623</v>
      </c>
      <c r="M900" s="290" t="s">
        <v>4623</v>
      </c>
      <c r="N900" s="290" t="s">
        <v>4623</v>
      </c>
      <c r="O900" s="290" t="s">
        <v>4623</v>
      </c>
      <c r="P900" s="290" t="s">
        <v>999</v>
      </c>
      <c r="Q900" s="291" t="s">
        <v>4623</v>
      </c>
      <c r="R900" s="276"/>
      <c r="S900" s="277">
        <f>IF(OR(C900="",C900=T$4),NA(),MATCH($B900&amp;$C900,'Smelter Reference List'!$J:$J,0))</f>
        <v>283</v>
      </c>
      <c r="T900" s="278"/>
      <c r="U900" s="278"/>
      <c r="V900" s="278"/>
      <c r="W900" s="278"/>
    </row>
    <row r="901" spans="1:23" s="269" customFormat="1" ht="20.25">
      <c r="A901" s="267"/>
      <c r="B901" s="275" t="s">
        <v>2438</v>
      </c>
      <c r="C901" s="275" t="s">
        <v>3831</v>
      </c>
      <c r="D901" s="168" t="s">
        <v>6172</v>
      </c>
      <c r="E901" s="168" t="s">
        <v>2362</v>
      </c>
      <c r="F901" s="168" t="s">
        <v>4623</v>
      </c>
      <c r="G901" s="168" t="s">
        <v>4623</v>
      </c>
      <c r="H901" s="292" t="s">
        <v>3328</v>
      </c>
      <c r="I901" s="293" t="s">
        <v>4700</v>
      </c>
      <c r="J901" s="293" t="s">
        <v>6173</v>
      </c>
      <c r="K901" s="290" t="s">
        <v>6174</v>
      </c>
      <c r="L901" s="290" t="s">
        <v>4623</v>
      </c>
      <c r="M901" s="290" t="s">
        <v>4623</v>
      </c>
      <c r="N901" s="290" t="s">
        <v>4623</v>
      </c>
      <c r="O901" s="290" t="s">
        <v>6175</v>
      </c>
      <c r="P901" s="290" t="s">
        <v>999</v>
      </c>
      <c r="Q901" s="291" t="s">
        <v>4623</v>
      </c>
      <c r="R901" s="276"/>
      <c r="S901" s="277">
        <f>IF(OR(C901="",C901=T$4),NA(),MATCH($B901&amp;$C901,'Smelter Reference List'!$J:$J,0))</f>
        <v>283</v>
      </c>
      <c r="T901" s="278"/>
      <c r="U901" s="278"/>
      <c r="V901" s="278"/>
      <c r="W901" s="278"/>
    </row>
    <row r="902" spans="1:23" s="269" customFormat="1" ht="20.25">
      <c r="A902" s="267"/>
      <c r="B902" s="275" t="s">
        <v>2438</v>
      </c>
      <c r="C902" s="275" t="s">
        <v>3831</v>
      </c>
      <c r="D902" s="168" t="s">
        <v>6176</v>
      </c>
      <c r="E902" s="168" t="s">
        <v>2362</v>
      </c>
      <c r="F902" s="168" t="s">
        <v>4623</v>
      </c>
      <c r="G902" s="168" t="s">
        <v>4623</v>
      </c>
      <c r="H902" s="292" t="s">
        <v>4623</v>
      </c>
      <c r="I902" s="293" t="s">
        <v>4623</v>
      </c>
      <c r="J902" s="293" t="s">
        <v>4623</v>
      </c>
      <c r="K902" s="290" t="s">
        <v>4623</v>
      </c>
      <c r="L902" s="290" t="s">
        <v>4623</v>
      </c>
      <c r="M902" s="290" t="s">
        <v>4623</v>
      </c>
      <c r="N902" s="290" t="s">
        <v>4623</v>
      </c>
      <c r="O902" s="290" t="s">
        <v>4623</v>
      </c>
      <c r="P902" s="290" t="s">
        <v>999</v>
      </c>
      <c r="Q902" s="291" t="s">
        <v>4623</v>
      </c>
      <c r="R902" s="276"/>
      <c r="S902" s="277">
        <f>IF(OR(C902="",C902=T$4),NA(),MATCH($B902&amp;$C902,'Smelter Reference List'!$J:$J,0))</f>
        <v>283</v>
      </c>
      <c r="T902" s="278"/>
      <c r="U902" s="278"/>
      <c r="V902" s="278"/>
      <c r="W902" s="278"/>
    </row>
    <row r="903" spans="1:23" s="269" customFormat="1" ht="20.25">
      <c r="A903" s="267"/>
      <c r="B903" s="275" t="s">
        <v>2438</v>
      </c>
      <c r="C903" s="275" t="s">
        <v>3831</v>
      </c>
      <c r="D903" s="168" t="s">
        <v>6177</v>
      </c>
      <c r="E903" s="168" t="s">
        <v>2362</v>
      </c>
      <c r="F903" s="168" t="s">
        <v>4623</v>
      </c>
      <c r="G903" s="168" t="s">
        <v>4623</v>
      </c>
      <c r="H903" s="292" t="s">
        <v>4623</v>
      </c>
      <c r="I903" s="293" t="s">
        <v>4623</v>
      </c>
      <c r="J903" s="293" t="s">
        <v>4623</v>
      </c>
      <c r="K903" s="290" t="s">
        <v>4623</v>
      </c>
      <c r="L903" s="290" t="s">
        <v>4623</v>
      </c>
      <c r="M903" s="290" t="s">
        <v>4623</v>
      </c>
      <c r="N903" s="290" t="s">
        <v>4623</v>
      </c>
      <c r="O903" s="290" t="s">
        <v>4623</v>
      </c>
      <c r="P903" s="290" t="s">
        <v>999</v>
      </c>
      <c r="Q903" s="291" t="s">
        <v>4623</v>
      </c>
      <c r="R903" s="276"/>
      <c r="S903" s="277">
        <f>IF(OR(C903="",C903=T$4),NA(),MATCH($B903&amp;$C903,'Smelter Reference List'!$J:$J,0))</f>
        <v>283</v>
      </c>
      <c r="T903" s="278"/>
      <c r="U903" s="278"/>
      <c r="V903" s="278"/>
      <c r="W903" s="278"/>
    </row>
    <row r="904" spans="1:23" s="269" customFormat="1" ht="20.25">
      <c r="A904" s="267"/>
      <c r="B904" s="275" t="s">
        <v>2438</v>
      </c>
      <c r="C904" s="275" t="s">
        <v>3831</v>
      </c>
      <c r="D904" s="168" t="s">
        <v>6178</v>
      </c>
      <c r="E904" s="168" t="s">
        <v>2362</v>
      </c>
      <c r="F904" s="168" t="s">
        <v>4623</v>
      </c>
      <c r="G904" s="168" t="s">
        <v>4623</v>
      </c>
      <c r="H904" s="292" t="s">
        <v>4623</v>
      </c>
      <c r="I904" s="293" t="s">
        <v>4623</v>
      </c>
      <c r="J904" s="293" t="s">
        <v>4623</v>
      </c>
      <c r="K904" s="290" t="s">
        <v>4623</v>
      </c>
      <c r="L904" s="290" t="s">
        <v>4623</v>
      </c>
      <c r="M904" s="290" t="s">
        <v>4623</v>
      </c>
      <c r="N904" s="290" t="s">
        <v>4623</v>
      </c>
      <c r="O904" s="290" t="s">
        <v>4623</v>
      </c>
      <c r="P904" s="290" t="s">
        <v>999</v>
      </c>
      <c r="Q904" s="291" t="s">
        <v>4623</v>
      </c>
      <c r="R904" s="276"/>
      <c r="S904" s="277">
        <f>IF(OR(C904="",C904=T$4),NA(),MATCH($B904&amp;$C904,'Smelter Reference List'!$J:$J,0))</f>
        <v>283</v>
      </c>
      <c r="T904" s="278"/>
      <c r="U904" s="278"/>
      <c r="V904" s="278"/>
      <c r="W904" s="278"/>
    </row>
    <row r="905" spans="1:23" s="269" customFormat="1" ht="20.25">
      <c r="A905" s="267"/>
      <c r="B905" s="275" t="s">
        <v>2438</v>
      </c>
      <c r="C905" s="275" t="s">
        <v>3831</v>
      </c>
      <c r="D905" s="168" t="s">
        <v>6179</v>
      </c>
      <c r="E905" s="168" t="s">
        <v>2362</v>
      </c>
      <c r="F905" s="168" t="s">
        <v>4623</v>
      </c>
      <c r="G905" s="168" t="s">
        <v>4623</v>
      </c>
      <c r="H905" s="292" t="s">
        <v>6180</v>
      </c>
      <c r="I905" s="293" t="s">
        <v>3405</v>
      </c>
      <c r="J905" s="293" t="s">
        <v>3405</v>
      </c>
      <c r="K905" s="290" t="s">
        <v>6181</v>
      </c>
      <c r="L905" s="290" t="s">
        <v>6182</v>
      </c>
      <c r="M905" s="290" t="s">
        <v>4623</v>
      </c>
      <c r="N905" s="290" t="s">
        <v>4623</v>
      </c>
      <c r="O905" s="290" t="s">
        <v>4700</v>
      </c>
      <c r="P905" s="290" t="s">
        <v>999</v>
      </c>
      <c r="Q905" s="291" t="s">
        <v>4623</v>
      </c>
      <c r="R905" s="276"/>
      <c r="S905" s="277">
        <f>IF(OR(C905="",C905=T$4),NA(),MATCH($B905&amp;$C905,'Smelter Reference List'!$J:$J,0))</f>
        <v>283</v>
      </c>
      <c r="T905" s="278"/>
      <c r="U905" s="278"/>
      <c r="V905" s="278"/>
      <c r="W905" s="278"/>
    </row>
    <row r="906" spans="1:23" s="269" customFormat="1" ht="20.25">
      <c r="A906" s="267"/>
      <c r="B906" s="275" t="s">
        <v>2438</v>
      </c>
      <c r="C906" s="275" t="s">
        <v>3831</v>
      </c>
      <c r="D906" s="168" t="s">
        <v>6183</v>
      </c>
      <c r="E906" s="168" t="s">
        <v>2362</v>
      </c>
      <c r="F906" s="168" t="s">
        <v>4623</v>
      </c>
      <c r="G906" s="168" t="s">
        <v>4623</v>
      </c>
      <c r="H906" s="292" t="s">
        <v>4623</v>
      </c>
      <c r="I906" s="293" t="s">
        <v>4623</v>
      </c>
      <c r="J906" s="293" t="s">
        <v>4623</v>
      </c>
      <c r="K906" s="290" t="s">
        <v>4623</v>
      </c>
      <c r="L906" s="290" t="s">
        <v>4623</v>
      </c>
      <c r="M906" s="290" t="s">
        <v>4623</v>
      </c>
      <c r="N906" s="290" t="s">
        <v>4623</v>
      </c>
      <c r="O906" s="290" t="s">
        <v>4623</v>
      </c>
      <c r="P906" s="290" t="s">
        <v>999</v>
      </c>
      <c r="Q906" s="291" t="s">
        <v>4623</v>
      </c>
      <c r="R906" s="276"/>
      <c r="S906" s="277">
        <f>IF(OR(C906="",C906=T$4),NA(),MATCH($B906&amp;$C906,'Smelter Reference List'!$J:$J,0))</f>
        <v>283</v>
      </c>
      <c r="T906" s="278"/>
      <c r="U906" s="278"/>
      <c r="V906" s="278"/>
      <c r="W906" s="278"/>
    </row>
    <row r="907" spans="1:23" s="269" customFormat="1" ht="20.25">
      <c r="A907" s="267"/>
      <c r="B907" s="275" t="s">
        <v>2438</v>
      </c>
      <c r="C907" s="275" t="s">
        <v>3831</v>
      </c>
      <c r="D907" s="168" t="s">
        <v>6184</v>
      </c>
      <c r="E907" s="168" t="s">
        <v>2362</v>
      </c>
      <c r="F907" s="168" t="s">
        <v>4623</v>
      </c>
      <c r="G907" s="168" t="s">
        <v>4623</v>
      </c>
      <c r="H907" s="292" t="s">
        <v>4623</v>
      </c>
      <c r="I907" s="293" t="s">
        <v>4623</v>
      </c>
      <c r="J907" s="293" t="s">
        <v>4623</v>
      </c>
      <c r="K907" s="290" t="s">
        <v>4623</v>
      </c>
      <c r="L907" s="290" t="s">
        <v>4623</v>
      </c>
      <c r="M907" s="290" t="s">
        <v>4623</v>
      </c>
      <c r="N907" s="290" t="s">
        <v>4623</v>
      </c>
      <c r="O907" s="290" t="s">
        <v>4623</v>
      </c>
      <c r="P907" s="290" t="s">
        <v>999</v>
      </c>
      <c r="Q907" s="291" t="s">
        <v>4623</v>
      </c>
      <c r="R907" s="276"/>
      <c r="S907" s="277">
        <f>IF(OR(C907="",C907=T$4),NA(),MATCH($B907&amp;$C907,'Smelter Reference List'!$J:$J,0))</f>
        <v>283</v>
      </c>
      <c r="T907" s="278"/>
      <c r="U907" s="278"/>
      <c r="V907" s="278"/>
      <c r="W907" s="278"/>
    </row>
    <row r="908" spans="1:23" s="269" customFormat="1" ht="20.25">
      <c r="A908" s="267"/>
      <c r="B908" s="275" t="s">
        <v>2438</v>
      </c>
      <c r="C908" s="275" t="s">
        <v>3831</v>
      </c>
      <c r="D908" s="168" t="s">
        <v>6185</v>
      </c>
      <c r="E908" s="168" t="s">
        <v>2362</v>
      </c>
      <c r="F908" s="168" t="s">
        <v>4623</v>
      </c>
      <c r="G908" s="168" t="s">
        <v>4623</v>
      </c>
      <c r="H908" s="292" t="s">
        <v>4623</v>
      </c>
      <c r="I908" s="293" t="s">
        <v>4623</v>
      </c>
      <c r="J908" s="293" t="s">
        <v>4623</v>
      </c>
      <c r="K908" s="290" t="s">
        <v>4623</v>
      </c>
      <c r="L908" s="290" t="s">
        <v>4623</v>
      </c>
      <c r="M908" s="290" t="s">
        <v>4623</v>
      </c>
      <c r="N908" s="290" t="s">
        <v>4623</v>
      </c>
      <c r="O908" s="290" t="s">
        <v>4623</v>
      </c>
      <c r="P908" s="290" t="s">
        <v>999</v>
      </c>
      <c r="Q908" s="291" t="s">
        <v>4623</v>
      </c>
      <c r="R908" s="276"/>
      <c r="S908" s="277">
        <f>IF(OR(C908="",C908=T$4),NA(),MATCH($B908&amp;$C908,'Smelter Reference List'!$J:$J,0))</f>
        <v>283</v>
      </c>
      <c r="T908" s="278"/>
      <c r="U908" s="278"/>
      <c r="V908" s="278"/>
      <c r="W908" s="278"/>
    </row>
    <row r="909" spans="1:23" s="269" customFormat="1" ht="20.25">
      <c r="A909" s="267"/>
      <c r="B909" s="275" t="s">
        <v>2438</v>
      </c>
      <c r="C909" s="275" t="s">
        <v>3831</v>
      </c>
      <c r="D909" s="168" t="s">
        <v>6186</v>
      </c>
      <c r="E909" s="168" t="s">
        <v>2362</v>
      </c>
      <c r="F909" s="168" t="s">
        <v>4623</v>
      </c>
      <c r="G909" s="168" t="s">
        <v>4623</v>
      </c>
      <c r="H909" s="292" t="s">
        <v>6187</v>
      </c>
      <c r="I909" s="293" t="s">
        <v>6188</v>
      </c>
      <c r="J909" s="293" t="s">
        <v>6189</v>
      </c>
      <c r="K909" s="290" t="s">
        <v>6190</v>
      </c>
      <c r="L909" s="290" t="s">
        <v>6191</v>
      </c>
      <c r="M909" s="290" t="s">
        <v>6192</v>
      </c>
      <c r="N909" s="290" t="s">
        <v>6193</v>
      </c>
      <c r="O909" s="290" t="s">
        <v>6194</v>
      </c>
      <c r="P909" s="290" t="s">
        <v>998</v>
      </c>
      <c r="Q909" s="291" t="s">
        <v>6195</v>
      </c>
      <c r="R909" s="276"/>
      <c r="S909" s="277">
        <f>IF(OR(C909="",C909=T$4),NA(),MATCH($B909&amp;$C909,'Smelter Reference List'!$J:$J,0))</f>
        <v>283</v>
      </c>
      <c r="T909" s="278"/>
      <c r="U909" s="278"/>
      <c r="V909" s="278"/>
      <c r="W909" s="278"/>
    </row>
    <row r="910" spans="1:23" s="269" customFormat="1" ht="20.25">
      <c r="A910" s="267"/>
      <c r="B910" s="275" t="s">
        <v>2438</v>
      </c>
      <c r="C910" s="275" t="s">
        <v>3831</v>
      </c>
      <c r="D910" s="168" t="s">
        <v>6196</v>
      </c>
      <c r="E910" s="168" t="s">
        <v>2362</v>
      </c>
      <c r="F910" s="168" t="s">
        <v>4623</v>
      </c>
      <c r="G910" s="168" t="s">
        <v>4623</v>
      </c>
      <c r="H910" s="292" t="s">
        <v>6197</v>
      </c>
      <c r="I910" s="293" t="s">
        <v>6198</v>
      </c>
      <c r="J910" s="293" t="s">
        <v>3462</v>
      </c>
      <c r="K910" s="290" t="s">
        <v>6190</v>
      </c>
      <c r="L910" s="290" t="s">
        <v>6191</v>
      </c>
      <c r="M910" s="290" t="s">
        <v>6192</v>
      </c>
      <c r="N910" s="290" t="s">
        <v>6193</v>
      </c>
      <c r="O910" s="290" t="s">
        <v>6194</v>
      </c>
      <c r="P910" s="290" t="s">
        <v>998</v>
      </c>
      <c r="Q910" s="291" t="s">
        <v>6195</v>
      </c>
      <c r="R910" s="276"/>
      <c r="S910" s="277">
        <f>IF(OR(C910="",C910=T$4),NA(),MATCH($B910&amp;$C910,'Smelter Reference List'!$J:$J,0))</f>
        <v>283</v>
      </c>
      <c r="T910" s="278"/>
      <c r="U910" s="278"/>
      <c r="V910" s="278"/>
      <c r="W910" s="278"/>
    </row>
    <row r="911" spans="1:23" s="269" customFormat="1" ht="20.25">
      <c r="A911" s="267"/>
      <c r="B911" s="275" t="s">
        <v>2438</v>
      </c>
      <c r="C911" s="275" t="s">
        <v>3831</v>
      </c>
      <c r="D911" s="168" t="s">
        <v>6199</v>
      </c>
      <c r="E911" s="168" t="s">
        <v>2362</v>
      </c>
      <c r="F911" s="168" t="s">
        <v>4623</v>
      </c>
      <c r="G911" s="168" t="s">
        <v>4623</v>
      </c>
      <c r="H911" s="292" t="s">
        <v>4623</v>
      </c>
      <c r="I911" s="293" t="s">
        <v>4623</v>
      </c>
      <c r="J911" s="293" t="s">
        <v>4623</v>
      </c>
      <c r="K911" s="290" t="s">
        <v>4623</v>
      </c>
      <c r="L911" s="290" t="s">
        <v>4623</v>
      </c>
      <c r="M911" s="290" t="s">
        <v>4623</v>
      </c>
      <c r="N911" s="290" t="s">
        <v>4623</v>
      </c>
      <c r="O911" s="290" t="s">
        <v>4623</v>
      </c>
      <c r="P911" s="290" t="s">
        <v>999</v>
      </c>
      <c r="Q911" s="291" t="s">
        <v>4623</v>
      </c>
      <c r="R911" s="276"/>
      <c r="S911" s="277">
        <f>IF(OR(C911="",C911=T$4),NA(),MATCH($B911&amp;$C911,'Smelter Reference List'!$J:$J,0))</f>
        <v>283</v>
      </c>
      <c r="T911" s="278"/>
      <c r="U911" s="278"/>
      <c r="V911" s="278"/>
      <c r="W911" s="278"/>
    </row>
    <row r="912" spans="1:23" s="269" customFormat="1" ht="20.25">
      <c r="A912" s="267"/>
      <c r="B912" s="275" t="s">
        <v>2438</v>
      </c>
      <c r="C912" s="275" t="s">
        <v>3831</v>
      </c>
      <c r="D912" s="168" t="s">
        <v>6200</v>
      </c>
      <c r="E912" s="168" t="s">
        <v>2362</v>
      </c>
      <c r="F912" s="168" t="s">
        <v>4623</v>
      </c>
      <c r="G912" s="168" t="s">
        <v>4623</v>
      </c>
      <c r="H912" s="292" t="s">
        <v>4623</v>
      </c>
      <c r="I912" s="293" t="s">
        <v>4623</v>
      </c>
      <c r="J912" s="293" t="s">
        <v>4623</v>
      </c>
      <c r="K912" s="290" t="s">
        <v>4623</v>
      </c>
      <c r="L912" s="290" t="s">
        <v>4623</v>
      </c>
      <c r="M912" s="290" t="s">
        <v>4628</v>
      </c>
      <c r="N912" s="290" t="s">
        <v>4623</v>
      </c>
      <c r="O912" s="290" t="s">
        <v>4623</v>
      </c>
      <c r="P912" s="290" t="s">
        <v>999</v>
      </c>
      <c r="Q912" s="291" t="s">
        <v>4623</v>
      </c>
      <c r="R912" s="276"/>
      <c r="S912" s="277">
        <f>IF(OR(C912="",C912=T$4),NA(),MATCH($B912&amp;$C912,'Smelter Reference List'!$J:$J,0))</f>
        <v>283</v>
      </c>
      <c r="T912" s="278"/>
      <c r="U912" s="278"/>
      <c r="V912" s="278"/>
      <c r="W912" s="278"/>
    </row>
    <row r="913" spans="1:23" s="269" customFormat="1" ht="20.25">
      <c r="A913" s="267"/>
      <c r="B913" s="275" t="s">
        <v>2438</v>
      </c>
      <c r="C913" s="275" t="s">
        <v>3831</v>
      </c>
      <c r="D913" s="168" t="s">
        <v>6201</v>
      </c>
      <c r="E913" s="168" t="s">
        <v>1825</v>
      </c>
      <c r="F913" s="168" t="s">
        <v>4623</v>
      </c>
      <c r="G913" s="168" t="s">
        <v>4623</v>
      </c>
      <c r="H913" s="292" t="s">
        <v>4623</v>
      </c>
      <c r="I913" s="293" t="s">
        <v>4623</v>
      </c>
      <c r="J913" s="293" t="s">
        <v>6202</v>
      </c>
      <c r="K913" s="290" t="s">
        <v>4623</v>
      </c>
      <c r="L913" s="290" t="s">
        <v>4623</v>
      </c>
      <c r="M913" s="290" t="s">
        <v>4623</v>
      </c>
      <c r="N913" s="290" t="s">
        <v>4623</v>
      </c>
      <c r="O913" s="290" t="s">
        <v>6203</v>
      </c>
      <c r="P913" s="290" t="s">
        <v>999</v>
      </c>
      <c r="Q913" s="291" t="s">
        <v>4623</v>
      </c>
      <c r="R913" s="276"/>
      <c r="S913" s="277">
        <f>IF(OR(C913="",C913=T$4),NA(),MATCH($B913&amp;$C913,'Smelter Reference List'!$J:$J,0))</f>
        <v>283</v>
      </c>
      <c r="T913" s="278"/>
      <c r="U913" s="278"/>
      <c r="V913" s="278"/>
      <c r="W913" s="278"/>
    </row>
    <row r="914" spans="1:23" s="269" customFormat="1" ht="20.25">
      <c r="A914" s="267"/>
      <c r="B914" s="275" t="s">
        <v>2438</v>
      </c>
      <c r="C914" s="275" t="s">
        <v>3831</v>
      </c>
      <c r="D914" s="168" t="s">
        <v>1893</v>
      </c>
      <c r="E914" s="168" t="s">
        <v>1825</v>
      </c>
      <c r="F914" s="168" t="s">
        <v>4623</v>
      </c>
      <c r="G914" s="168" t="s">
        <v>4623</v>
      </c>
      <c r="H914" s="292" t="s">
        <v>4623</v>
      </c>
      <c r="I914" s="293" t="s">
        <v>4623</v>
      </c>
      <c r="J914" s="293" t="s">
        <v>4623</v>
      </c>
      <c r="K914" s="290" t="s">
        <v>4623</v>
      </c>
      <c r="L914" s="290" t="s">
        <v>999</v>
      </c>
      <c r="M914" s="290" t="s">
        <v>6021</v>
      </c>
      <c r="N914" s="290" t="s">
        <v>6022</v>
      </c>
      <c r="O914" s="290" t="s">
        <v>4623</v>
      </c>
      <c r="P914" s="290" t="s">
        <v>999</v>
      </c>
      <c r="Q914" s="291" t="s">
        <v>4623</v>
      </c>
      <c r="R914" s="276"/>
      <c r="S914" s="277">
        <f>IF(OR(C914="",C914=T$4),NA(),MATCH($B914&amp;$C914,'Smelter Reference List'!$J:$J,0))</f>
        <v>283</v>
      </c>
      <c r="T914" s="278"/>
      <c r="U914" s="278"/>
      <c r="V914" s="278"/>
      <c r="W914" s="278"/>
    </row>
    <row r="915" spans="1:23" s="269" customFormat="1" ht="20.25">
      <c r="A915" s="267"/>
      <c r="B915" s="275" t="s">
        <v>2438</v>
      </c>
      <c r="C915" s="275" t="s">
        <v>3831</v>
      </c>
      <c r="D915" s="168" t="s">
        <v>5813</v>
      </c>
      <c r="E915" s="168" t="s">
        <v>1825</v>
      </c>
      <c r="F915" s="168" t="s">
        <v>4623</v>
      </c>
      <c r="G915" s="168" t="s">
        <v>4623</v>
      </c>
      <c r="H915" s="292" t="s">
        <v>4623</v>
      </c>
      <c r="I915" s="293" t="s">
        <v>4623</v>
      </c>
      <c r="J915" s="293" t="s">
        <v>4623</v>
      </c>
      <c r="K915" s="290" t="s">
        <v>4623</v>
      </c>
      <c r="L915" s="290" t="s">
        <v>4623</v>
      </c>
      <c r="M915" s="290" t="s">
        <v>4623</v>
      </c>
      <c r="N915" s="290" t="s">
        <v>4623</v>
      </c>
      <c r="O915" s="290" t="s">
        <v>4623</v>
      </c>
      <c r="P915" s="290" t="s">
        <v>999</v>
      </c>
      <c r="Q915" s="291" t="s">
        <v>4623</v>
      </c>
      <c r="R915" s="276"/>
      <c r="S915" s="277">
        <f>IF(OR(C915="",C915=T$4),NA(),MATCH($B915&amp;$C915,'Smelter Reference List'!$J:$J,0))</f>
        <v>283</v>
      </c>
      <c r="T915" s="278"/>
      <c r="U915" s="278"/>
      <c r="V915" s="278"/>
      <c r="W915" s="278"/>
    </row>
    <row r="916" spans="1:23" s="269" customFormat="1" ht="20.25">
      <c r="A916" s="267"/>
      <c r="B916" s="275" t="s">
        <v>2438</v>
      </c>
      <c r="C916" s="275" t="s">
        <v>3831</v>
      </c>
      <c r="D916" s="168" t="s">
        <v>6204</v>
      </c>
      <c r="E916" s="168" t="s">
        <v>1880</v>
      </c>
      <c r="F916" s="168" t="s">
        <v>6205</v>
      </c>
      <c r="G916" s="168" t="s">
        <v>3324</v>
      </c>
      <c r="H916" s="292" t="s">
        <v>6206</v>
      </c>
      <c r="I916" s="293" t="s">
        <v>6207</v>
      </c>
      <c r="J916" s="293" t="s">
        <v>4796</v>
      </c>
      <c r="K916" s="290" t="s">
        <v>6208</v>
      </c>
      <c r="L916" s="290" t="s">
        <v>6209</v>
      </c>
      <c r="M916" s="290" t="s">
        <v>4623</v>
      </c>
      <c r="N916" s="290" t="s">
        <v>4671</v>
      </c>
      <c r="O916" s="290" t="s">
        <v>4671</v>
      </c>
      <c r="P916" s="290" t="s">
        <v>999</v>
      </c>
      <c r="Q916" s="291" t="s">
        <v>4623</v>
      </c>
      <c r="R916" s="276"/>
      <c r="S916" s="277">
        <f>IF(OR(C916="",C916=T$4),NA(),MATCH($B916&amp;$C916,'Smelter Reference List'!$J:$J,0))</f>
        <v>283</v>
      </c>
      <c r="T916" s="278"/>
      <c r="U916" s="278"/>
      <c r="V916" s="278"/>
      <c r="W916" s="278"/>
    </row>
    <row r="917" spans="1:23" s="269" customFormat="1" ht="20.25">
      <c r="A917" s="267"/>
      <c r="B917" s="275" t="s">
        <v>2438</v>
      </c>
      <c r="C917" s="275" t="s">
        <v>3831</v>
      </c>
      <c r="D917" s="168" t="s">
        <v>6210</v>
      </c>
      <c r="E917" s="168" t="s">
        <v>2292</v>
      </c>
      <c r="F917" s="168" t="s">
        <v>4623</v>
      </c>
      <c r="G917" s="168" t="s">
        <v>4623</v>
      </c>
      <c r="H917" s="292" t="s">
        <v>4623</v>
      </c>
      <c r="I917" s="293" t="s">
        <v>4623</v>
      </c>
      <c r="J917" s="293" t="s">
        <v>4623</v>
      </c>
      <c r="K917" s="290" t="s">
        <v>4623</v>
      </c>
      <c r="L917" s="290" t="s">
        <v>4623</v>
      </c>
      <c r="M917" s="290" t="s">
        <v>4623</v>
      </c>
      <c r="N917" s="290" t="s">
        <v>4623</v>
      </c>
      <c r="O917" s="290" t="s">
        <v>4623</v>
      </c>
      <c r="P917" s="290" t="s">
        <v>999</v>
      </c>
      <c r="Q917" s="291" t="s">
        <v>4623</v>
      </c>
      <c r="R917" s="276"/>
      <c r="S917" s="277">
        <f>IF(OR(C917="",C917=T$4),NA(),MATCH($B917&amp;$C917,'Smelter Reference List'!$J:$J,0))</f>
        <v>283</v>
      </c>
      <c r="T917" s="278"/>
      <c r="U917" s="278"/>
      <c r="V917" s="278"/>
      <c r="W917" s="278"/>
    </row>
    <row r="918" spans="1:23" s="269" customFormat="1" ht="20.25">
      <c r="A918" s="267"/>
      <c r="B918" s="275" t="s">
        <v>2438</v>
      </c>
      <c r="C918" s="275" t="s">
        <v>3831</v>
      </c>
      <c r="D918" s="168" t="s">
        <v>6211</v>
      </c>
      <c r="E918" s="168" t="s">
        <v>1861</v>
      </c>
      <c r="F918" s="168" t="s">
        <v>4623</v>
      </c>
      <c r="G918" s="168" t="s">
        <v>4623</v>
      </c>
      <c r="H918" s="292" t="s">
        <v>4623</v>
      </c>
      <c r="I918" s="293" t="s">
        <v>4623</v>
      </c>
      <c r="J918" s="293" t="s">
        <v>4623</v>
      </c>
      <c r="K918" s="290" t="s">
        <v>4623</v>
      </c>
      <c r="L918" s="290" t="s">
        <v>4623</v>
      </c>
      <c r="M918" s="290" t="s">
        <v>4623</v>
      </c>
      <c r="N918" s="290" t="s">
        <v>4623</v>
      </c>
      <c r="O918" s="290" t="s">
        <v>4623</v>
      </c>
      <c r="P918" s="290" t="s">
        <v>999</v>
      </c>
      <c r="Q918" s="291" t="s">
        <v>4623</v>
      </c>
      <c r="R918" s="276"/>
      <c r="S918" s="277">
        <f>IF(OR(C918="",C918=T$4),NA(),MATCH($B918&amp;$C918,'Smelter Reference List'!$J:$J,0))</f>
        <v>283</v>
      </c>
      <c r="T918" s="278"/>
      <c r="U918" s="278"/>
      <c r="V918" s="278"/>
      <c r="W918" s="278"/>
    </row>
    <row r="919" spans="1:23" s="269" customFormat="1" ht="20.25">
      <c r="A919" s="267"/>
      <c r="B919" s="275" t="s">
        <v>2438</v>
      </c>
      <c r="C919" s="275" t="s">
        <v>3831</v>
      </c>
      <c r="D919" s="168" t="s">
        <v>6212</v>
      </c>
      <c r="E919" s="168" t="s">
        <v>1851</v>
      </c>
      <c r="F919" s="168" t="s">
        <v>4623</v>
      </c>
      <c r="G919" s="168" t="s">
        <v>4623</v>
      </c>
      <c r="H919" s="292" t="s">
        <v>4623</v>
      </c>
      <c r="I919" s="293" t="s">
        <v>4623</v>
      </c>
      <c r="J919" s="293" t="s">
        <v>4623</v>
      </c>
      <c r="K919" s="290" t="s">
        <v>4623</v>
      </c>
      <c r="L919" s="290" t="s">
        <v>4623</v>
      </c>
      <c r="M919" s="290" t="s">
        <v>4623</v>
      </c>
      <c r="N919" s="290" t="s">
        <v>4623</v>
      </c>
      <c r="O919" s="290" t="s">
        <v>4623</v>
      </c>
      <c r="P919" s="290" t="s">
        <v>999</v>
      </c>
      <c r="Q919" s="291" t="s">
        <v>4623</v>
      </c>
      <c r="R919" s="276"/>
      <c r="S919" s="277">
        <f>IF(OR(C919="",C919=T$4),NA(),MATCH($B919&amp;$C919,'Smelter Reference List'!$J:$J,0))</f>
        <v>283</v>
      </c>
      <c r="T919" s="278"/>
      <c r="U919" s="278"/>
      <c r="V919" s="278"/>
      <c r="W919" s="278"/>
    </row>
    <row r="920" spans="1:23" s="269" customFormat="1" ht="20.25">
      <c r="A920" s="267"/>
      <c r="B920" s="275" t="s">
        <v>2438</v>
      </c>
      <c r="C920" s="275" t="s">
        <v>3831</v>
      </c>
      <c r="D920" s="168" t="s">
        <v>5892</v>
      </c>
      <c r="E920" s="168" t="s">
        <v>1851</v>
      </c>
      <c r="F920" s="168" t="s">
        <v>4623</v>
      </c>
      <c r="G920" s="168" t="s">
        <v>4623</v>
      </c>
      <c r="H920" s="292" t="s">
        <v>5894</v>
      </c>
      <c r="I920" s="293" t="s">
        <v>5895</v>
      </c>
      <c r="J920" s="293" t="s">
        <v>6213</v>
      </c>
      <c r="K920" s="290" t="s">
        <v>5896</v>
      </c>
      <c r="L920" s="290" t="s">
        <v>5001</v>
      </c>
      <c r="M920" s="290" t="s">
        <v>5897</v>
      </c>
      <c r="N920" s="290" t="s">
        <v>4623</v>
      </c>
      <c r="O920" s="290" t="s">
        <v>6092</v>
      </c>
      <c r="P920" s="290" t="s">
        <v>999</v>
      </c>
      <c r="Q920" s="291" t="s">
        <v>4623</v>
      </c>
      <c r="R920" s="276"/>
      <c r="S920" s="277">
        <f>IF(OR(C920="",C920=T$4),NA(),MATCH($B920&amp;$C920,'Smelter Reference List'!$J:$J,0))</f>
        <v>283</v>
      </c>
      <c r="T920" s="278"/>
      <c r="U920" s="278"/>
      <c r="V920" s="278"/>
      <c r="W920" s="278"/>
    </row>
    <row r="921" spans="1:23" s="269" customFormat="1" ht="20.25">
      <c r="A921" s="267"/>
      <c r="B921" s="275" t="s">
        <v>2438</v>
      </c>
      <c r="C921" s="275" t="s">
        <v>3831</v>
      </c>
      <c r="D921" s="168" t="s">
        <v>6214</v>
      </c>
      <c r="E921" s="168" t="s">
        <v>1867</v>
      </c>
      <c r="F921" s="168" t="s">
        <v>4623</v>
      </c>
      <c r="G921" s="168" t="s">
        <v>4623</v>
      </c>
      <c r="H921" s="292" t="s">
        <v>4623</v>
      </c>
      <c r="I921" s="293" t="s">
        <v>4623</v>
      </c>
      <c r="J921" s="293" t="s">
        <v>4623</v>
      </c>
      <c r="K921" s="290" t="s">
        <v>4623</v>
      </c>
      <c r="L921" s="290" t="s">
        <v>4623</v>
      </c>
      <c r="M921" s="290" t="s">
        <v>4623</v>
      </c>
      <c r="N921" s="290" t="s">
        <v>4623</v>
      </c>
      <c r="O921" s="290" t="s">
        <v>4623</v>
      </c>
      <c r="P921" s="290" t="s">
        <v>999</v>
      </c>
      <c r="Q921" s="291" t="s">
        <v>4623</v>
      </c>
      <c r="R921" s="276"/>
      <c r="S921" s="277">
        <f>IF(OR(C921="",C921=T$4),NA(),MATCH($B921&amp;$C921,'Smelter Reference List'!$J:$J,0))</f>
        <v>283</v>
      </c>
      <c r="T921" s="278"/>
      <c r="U921" s="278"/>
      <c r="V921" s="278"/>
      <c r="W921" s="278"/>
    </row>
    <row r="922" spans="1:23" s="269" customFormat="1" ht="20.25">
      <c r="A922" s="267"/>
      <c r="B922" s="275" t="s">
        <v>2438</v>
      </c>
      <c r="C922" s="275" t="s">
        <v>3831</v>
      </c>
      <c r="D922" s="168" t="s">
        <v>5903</v>
      </c>
      <c r="E922" s="168" t="s">
        <v>1867</v>
      </c>
      <c r="F922" s="168" t="s">
        <v>4623</v>
      </c>
      <c r="G922" s="168" t="s">
        <v>4623</v>
      </c>
      <c r="H922" s="292" t="s">
        <v>4623</v>
      </c>
      <c r="I922" s="293" t="s">
        <v>4623</v>
      </c>
      <c r="J922" s="293" t="s">
        <v>4623</v>
      </c>
      <c r="K922" s="290" t="s">
        <v>4623</v>
      </c>
      <c r="L922" s="290" t="s">
        <v>4623</v>
      </c>
      <c r="M922" s="290" t="s">
        <v>4623</v>
      </c>
      <c r="N922" s="290" t="s">
        <v>4623</v>
      </c>
      <c r="O922" s="290" t="s">
        <v>4623</v>
      </c>
      <c r="P922" s="290" t="s">
        <v>999</v>
      </c>
      <c r="Q922" s="291" t="s">
        <v>4623</v>
      </c>
      <c r="R922" s="276"/>
      <c r="S922" s="277">
        <f>IF(OR(C922="",C922=T$4),NA(),MATCH($B922&amp;$C922,'Smelter Reference List'!$J:$J,0))</f>
        <v>283</v>
      </c>
      <c r="T922" s="278"/>
      <c r="U922" s="278"/>
      <c r="V922" s="278"/>
      <c r="W922" s="278"/>
    </row>
    <row r="923" spans="1:23" s="269" customFormat="1" ht="20.25">
      <c r="A923" s="267"/>
      <c r="B923" s="275" t="s">
        <v>2438</v>
      </c>
      <c r="C923" s="275" t="s">
        <v>3831</v>
      </c>
      <c r="D923" s="168" t="s">
        <v>6215</v>
      </c>
      <c r="E923" s="168" t="s">
        <v>1867</v>
      </c>
      <c r="F923" s="168" t="s">
        <v>1461</v>
      </c>
      <c r="G923" s="168" t="s">
        <v>3324</v>
      </c>
      <c r="H923" s="292" t="s">
        <v>4623</v>
      </c>
      <c r="I923" s="293" t="s">
        <v>4623</v>
      </c>
      <c r="J923" s="293" t="s">
        <v>4623</v>
      </c>
      <c r="K923" s="290" t="s">
        <v>4623</v>
      </c>
      <c r="L923" s="290" t="s">
        <v>4623</v>
      </c>
      <c r="M923" s="290" t="s">
        <v>4623</v>
      </c>
      <c r="N923" s="290" t="s">
        <v>4623</v>
      </c>
      <c r="O923" s="290" t="s">
        <v>4623</v>
      </c>
      <c r="P923" s="290" t="s">
        <v>999</v>
      </c>
      <c r="Q923" s="291" t="s">
        <v>4623</v>
      </c>
      <c r="R923" s="276"/>
      <c r="S923" s="277">
        <f>IF(OR(C923="",C923=T$4),NA(),MATCH($B923&amp;$C923,'Smelter Reference List'!$J:$J,0))</f>
        <v>283</v>
      </c>
      <c r="T923" s="278"/>
      <c r="U923" s="278"/>
      <c r="V923" s="278"/>
      <c r="W923" s="278"/>
    </row>
    <row r="924" spans="1:23" s="269" customFormat="1" ht="20.25">
      <c r="A924" s="267"/>
      <c r="B924" s="275" t="s">
        <v>2438</v>
      </c>
      <c r="C924" s="275" t="s">
        <v>3831</v>
      </c>
      <c r="D924" s="168" t="s">
        <v>6216</v>
      </c>
      <c r="E924" s="168" t="s">
        <v>1867</v>
      </c>
      <c r="F924" s="168" t="s">
        <v>4623</v>
      </c>
      <c r="G924" s="168" t="s">
        <v>4623</v>
      </c>
      <c r="H924" s="292" t="s">
        <v>4623</v>
      </c>
      <c r="I924" s="293" t="s">
        <v>4623</v>
      </c>
      <c r="J924" s="293" t="s">
        <v>4623</v>
      </c>
      <c r="K924" s="290" t="s">
        <v>4623</v>
      </c>
      <c r="L924" s="290" t="s">
        <v>4623</v>
      </c>
      <c r="M924" s="290" t="s">
        <v>4623</v>
      </c>
      <c r="N924" s="290" t="s">
        <v>4623</v>
      </c>
      <c r="O924" s="290" t="s">
        <v>4623</v>
      </c>
      <c r="P924" s="290" t="s">
        <v>999</v>
      </c>
      <c r="Q924" s="291" t="s">
        <v>4623</v>
      </c>
      <c r="R924" s="276"/>
      <c r="S924" s="277">
        <f>IF(OR(C924="",C924=T$4),NA(),MATCH($B924&amp;$C924,'Smelter Reference List'!$J:$J,0))</f>
        <v>283</v>
      </c>
      <c r="T924" s="278"/>
      <c r="U924" s="278"/>
      <c r="V924" s="278"/>
      <c r="W924" s="278"/>
    </row>
    <row r="925" spans="1:23" s="269" customFormat="1" ht="20.25">
      <c r="A925" s="267"/>
      <c r="B925" s="275" t="s">
        <v>2438</v>
      </c>
      <c r="C925" s="275" t="s">
        <v>3831</v>
      </c>
      <c r="D925" s="168" t="s">
        <v>3661</v>
      </c>
      <c r="E925" s="168" t="s">
        <v>1867</v>
      </c>
      <c r="F925" s="168" t="s">
        <v>4623</v>
      </c>
      <c r="G925" s="168" t="s">
        <v>4623</v>
      </c>
      <c r="H925" s="292" t="s">
        <v>4623</v>
      </c>
      <c r="I925" s="293" t="s">
        <v>4623</v>
      </c>
      <c r="J925" s="293" t="s">
        <v>4623</v>
      </c>
      <c r="K925" s="290" t="s">
        <v>4623</v>
      </c>
      <c r="L925" s="290" t="s">
        <v>4623</v>
      </c>
      <c r="M925" s="290" t="s">
        <v>4623</v>
      </c>
      <c r="N925" s="290" t="s">
        <v>4623</v>
      </c>
      <c r="O925" s="290" t="s">
        <v>4623</v>
      </c>
      <c r="P925" s="290" t="s">
        <v>999</v>
      </c>
      <c r="Q925" s="291" t="s">
        <v>4623</v>
      </c>
      <c r="R925" s="276"/>
      <c r="S925" s="277">
        <f>IF(OR(C925="",C925=T$4),NA(),MATCH($B925&amp;$C925,'Smelter Reference List'!$J:$J,0))</f>
        <v>283</v>
      </c>
      <c r="T925" s="278"/>
      <c r="U925" s="278"/>
      <c r="V925" s="278"/>
      <c r="W925" s="278"/>
    </row>
    <row r="926" spans="1:23" s="269" customFormat="1" ht="20.25">
      <c r="A926" s="267"/>
      <c r="B926" s="275" t="s">
        <v>2438</v>
      </c>
      <c r="C926" s="275" t="s">
        <v>3831</v>
      </c>
      <c r="D926" s="168" t="s">
        <v>5906</v>
      </c>
      <c r="E926" s="168" t="s">
        <v>1867</v>
      </c>
      <c r="F926" s="168" t="s">
        <v>4623</v>
      </c>
      <c r="G926" s="168" t="s">
        <v>4623</v>
      </c>
      <c r="H926" s="292" t="s">
        <v>4623</v>
      </c>
      <c r="I926" s="293" t="s">
        <v>4623</v>
      </c>
      <c r="J926" s="293" t="s">
        <v>4623</v>
      </c>
      <c r="K926" s="290" t="s">
        <v>4623</v>
      </c>
      <c r="L926" s="290" t="s">
        <v>4623</v>
      </c>
      <c r="M926" s="290" t="s">
        <v>4623</v>
      </c>
      <c r="N926" s="290" t="s">
        <v>4623</v>
      </c>
      <c r="O926" s="290" t="s">
        <v>4623</v>
      </c>
      <c r="P926" s="290" t="s">
        <v>999</v>
      </c>
      <c r="Q926" s="291" t="s">
        <v>4623</v>
      </c>
      <c r="R926" s="276"/>
      <c r="S926" s="277">
        <f>IF(OR(C926="",C926=T$4),NA(),MATCH($B926&amp;$C926,'Smelter Reference List'!$J:$J,0))</f>
        <v>283</v>
      </c>
      <c r="T926" s="278"/>
      <c r="U926" s="278"/>
      <c r="V926" s="278"/>
      <c r="W926" s="278"/>
    </row>
    <row r="927" spans="1:23" s="269" customFormat="1" ht="20.25">
      <c r="A927" s="267"/>
      <c r="B927" s="275" t="s">
        <v>2438</v>
      </c>
      <c r="C927" s="275" t="s">
        <v>3831</v>
      </c>
      <c r="D927" s="168" t="s">
        <v>6217</v>
      </c>
      <c r="E927" s="168" t="s">
        <v>1867</v>
      </c>
      <c r="F927" s="168" t="s">
        <v>4623</v>
      </c>
      <c r="G927" s="168" t="s">
        <v>4623</v>
      </c>
      <c r="H927" s="292" t="s">
        <v>5923</v>
      </c>
      <c r="I927" s="293" t="s">
        <v>5924</v>
      </c>
      <c r="J927" s="293" t="s">
        <v>6218</v>
      </c>
      <c r="K927" s="290" t="s">
        <v>6219</v>
      </c>
      <c r="L927" s="290" t="s">
        <v>5926</v>
      </c>
      <c r="M927" s="290" t="s">
        <v>4623</v>
      </c>
      <c r="N927" s="290" t="s">
        <v>4623</v>
      </c>
      <c r="O927" s="290" t="s">
        <v>6220</v>
      </c>
      <c r="P927" s="290" t="s">
        <v>999</v>
      </c>
      <c r="Q927" s="291" t="s">
        <v>4623</v>
      </c>
      <c r="R927" s="276"/>
      <c r="S927" s="277">
        <f>IF(OR(C927="",C927=T$4),NA(),MATCH($B927&amp;$C927,'Smelter Reference List'!$J:$J,0))</f>
        <v>283</v>
      </c>
      <c r="T927" s="278"/>
      <c r="U927" s="278"/>
      <c r="V927" s="278"/>
      <c r="W927" s="278"/>
    </row>
    <row r="928" spans="1:23" s="269" customFormat="1" ht="20.25">
      <c r="A928" s="267"/>
      <c r="B928" s="275" t="s">
        <v>2438</v>
      </c>
      <c r="C928" s="275" t="s">
        <v>3831</v>
      </c>
      <c r="D928" s="168" t="s">
        <v>6221</v>
      </c>
      <c r="E928" s="168" t="s">
        <v>1867</v>
      </c>
      <c r="F928" s="168" t="s">
        <v>4623</v>
      </c>
      <c r="G928" s="168" t="s">
        <v>4623</v>
      </c>
      <c r="H928" s="292" t="s">
        <v>4623</v>
      </c>
      <c r="I928" s="293" t="s">
        <v>4623</v>
      </c>
      <c r="J928" s="293" t="s">
        <v>4623</v>
      </c>
      <c r="K928" s="290" t="s">
        <v>4623</v>
      </c>
      <c r="L928" s="290" t="s">
        <v>4623</v>
      </c>
      <c r="M928" s="290" t="s">
        <v>4623</v>
      </c>
      <c r="N928" s="290" t="s">
        <v>4623</v>
      </c>
      <c r="O928" s="290" t="s">
        <v>4623</v>
      </c>
      <c r="P928" s="290" t="s">
        <v>999</v>
      </c>
      <c r="Q928" s="291" t="s">
        <v>4623</v>
      </c>
      <c r="R928" s="276"/>
      <c r="S928" s="277">
        <f>IF(OR(C928="",C928=T$4),NA(),MATCH($B928&amp;$C928,'Smelter Reference List'!$J:$J,0))</f>
        <v>283</v>
      </c>
      <c r="T928" s="278"/>
      <c r="U928" s="278"/>
      <c r="V928" s="278"/>
      <c r="W928" s="278"/>
    </row>
    <row r="929" spans="1:23" s="269" customFormat="1" ht="20.25">
      <c r="A929" s="267"/>
      <c r="B929" s="275" t="s">
        <v>2438</v>
      </c>
      <c r="C929" s="275" t="s">
        <v>3831</v>
      </c>
      <c r="D929" s="168" t="s">
        <v>6222</v>
      </c>
      <c r="E929" s="168" t="s">
        <v>1867</v>
      </c>
      <c r="F929" s="168" t="s">
        <v>4623</v>
      </c>
      <c r="G929" s="168" t="s">
        <v>4623</v>
      </c>
      <c r="H929" s="292" t="s">
        <v>4623</v>
      </c>
      <c r="I929" s="293" t="s">
        <v>4623</v>
      </c>
      <c r="J929" s="293" t="s">
        <v>4623</v>
      </c>
      <c r="K929" s="290" t="s">
        <v>4623</v>
      </c>
      <c r="L929" s="290" t="s">
        <v>4623</v>
      </c>
      <c r="M929" s="290" t="s">
        <v>4623</v>
      </c>
      <c r="N929" s="290" t="s">
        <v>4623</v>
      </c>
      <c r="O929" s="290" t="s">
        <v>4623</v>
      </c>
      <c r="P929" s="290" t="s">
        <v>999</v>
      </c>
      <c r="Q929" s="291" t="s">
        <v>4623</v>
      </c>
      <c r="R929" s="276"/>
      <c r="S929" s="277">
        <f>IF(OR(C929="",C929=T$4),NA(),MATCH($B929&amp;$C929,'Smelter Reference List'!$J:$J,0))</f>
        <v>283</v>
      </c>
      <c r="T929" s="278"/>
      <c r="U929" s="278"/>
      <c r="V929" s="278"/>
      <c r="W929" s="278"/>
    </row>
    <row r="930" spans="1:23" s="269" customFormat="1" ht="20.25">
      <c r="A930" s="267"/>
      <c r="B930" s="275" t="s">
        <v>2438</v>
      </c>
      <c r="C930" s="275" t="s">
        <v>3831</v>
      </c>
      <c r="D930" s="168" t="s">
        <v>6223</v>
      </c>
      <c r="E930" s="168" t="s">
        <v>1867</v>
      </c>
      <c r="F930" s="168" t="s">
        <v>4623</v>
      </c>
      <c r="G930" s="168" t="s">
        <v>4623</v>
      </c>
      <c r="H930" s="292" t="s">
        <v>4623</v>
      </c>
      <c r="I930" s="293" t="s">
        <v>4623</v>
      </c>
      <c r="J930" s="293" t="s">
        <v>4623</v>
      </c>
      <c r="K930" s="290" t="s">
        <v>4623</v>
      </c>
      <c r="L930" s="290" t="s">
        <v>4623</v>
      </c>
      <c r="M930" s="290" t="s">
        <v>4623</v>
      </c>
      <c r="N930" s="290" t="s">
        <v>4623</v>
      </c>
      <c r="O930" s="290" t="s">
        <v>4623</v>
      </c>
      <c r="P930" s="290" t="s">
        <v>999</v>
      </c>
      <c r="Q930" s="291" t="s">
        <v>4623</v>
      </c>
      <c r="R930" s="276"/>
      <c r="S930" s="277">
        <f>IF(OR(C930="",C930=T$4),NA(),MATCH($B930&amp;$C930,'Smelter Reference List'!$J:$J,0))</f>
        <v>283</v>
      </c>
      <c r="T930" s="278"/>
      <c r="U930" s="278"/>
      <c r="V930" s="278"/>
      <c r="W930" s="278"/>
    </row>
    <row r="931" spans="1:23" s="269" customFormat="1" ht="20.25">
      <c r="A931" s="267"/>
      <c r="B931" s="275" t="s">
        <v>2438</v>
      </c>
      <c r="C931" s="275" t="s">
        <v>3831</v>
      </c>
      <c r="D931" s="168" t="s">
        <v>6224</v>
      </c>
      <c r="E931" s="168" t="s">
        <v>1867</v>
      </c>
      <c r="F931" s="168" t="s">
        <v>4623</v>
      </c>
      <c r="G931" s="168" t="s">
        <v>4623</v>
      </c>
      <c r="H931" s="292" t="s">
        <v>4623</v>
      </c>
      <c r="I931" s="293" t="s">
        <v>4623</v>
      </c>
      <c r="J931" s="293" t="s">
        <v>4623</v>
      </c>
      <c r="K931" s="290" t="s">
        <v>4623</v>
      </c>
      <c r="L931" s="290" t="s">
        <v>4623</v>
      </c>
      <c r="M931" s="290" t="s">
        <v>4623</v>
      </c>
      <c r="N931" s="290" t="s">
        <v>4623</v>
      </c>
      <c r="O931" s="290" t="s">
        <v>4623</v>
      </c>
      <c r="P931" s="290" t="s">
        <v>999</v>
      </c>
      <c r="Q931" s="291" t="s">
        <v>4623</v>
      </c>
      <c r="R931" s="276"/>
      <c r="S931" s="277">
        <f>IF(OR(C931="",C931=T$4),NA(),MATCH($B931&amp;$C931,'Smelter Reference List'!$J:$J,0))</f>
        <v>283</v>
      </c>
      <c r="T931" s="278"/>
      <c r="U931" s="278"/>
      <c r="V931" s="278"/>
      <c r="W931" s="278"/>
    </row>
    <row r="932" spans="1:23" s="269" customFormat="1" ht="20.25">
      <c r="A932" s="267"/>
      <c r="B932" s="275" t="s">
        <v>2438</v>
      </c>
      <c r="C932" s="275" t="s">
        <v>3831</v>
      </c>
      <c r="D932" s="168" t="s">
        <v>6225</v>
      </c>
      <c r="E932" s="168" t="s">
        <v>1867</v>
      </c>
      <c r="F932" s="168" t="s">
        <v>4623</v>
      </c>
      <c r="G932" s="168" t="s">
        <v>4623</v>
      </c>
      <c r="H932" s="292" t="s">
        <v>6226</v>
      </c>
      <c r="I932" s="293" t="s">
        <v>6227</v>
      </c>
      <c r="J932" s="293" t="s">
        <v>3326</v>
      </c>
      <c r="K932" s="290" t="s">
        <v>4623</v>
      </c>
      <c r="L932" s="290" t="s">
        <v>6228</v>
      </c>
      <c r="M932" s="290" t="s">
        <v>4623</v>
      </c>
      <c r="N932" s="290" t="s">
        <v>4623</v>
      </c>
      <c r="O932" s="290" t="s">
        <v>4623</v>
      </c>
      <c r="P932" s="290" t="s">
        <v>999</v>
      </c>
      <c r="Q932" s="291" t="s">
        <v>4623</v>
      </c>
      <c r="R932" s="276"/>
      <c r="S932" s="277">
        <f>IF(OR(C932="",C932=T$4),NA(),MATCH($B932&amp;$C932,'Smelter Reference List'!$J:$J,0))</f>
        <v>283</v>
      </c>
      <c r="T932" s="278"/>
      <c r="U932" s="278"/>
      <c r="V932" s="278"/>
      <c r="W932" s="278"/>
    </row>
    <row r="933" spans="1:23" s="269" customFormat="1" ht="20.25">
      <c r="A933" s="267"/>
      <c r="B933" s="275" t="s">
        <v>2438</v>
      </c>
      <c r="C933" s="275" t="s">
        <v>3831</v>
      </c>
      <c r="D933" s="168" t="s">
        <v>5922</v>
      </c>
      <c r="E933" s="168" t="s">
        <v>1867</v>
      </c>
      <c r="F933" s="168" t="s">
        <v>6229</v>
      </c>
      <c r="G933" s="168" t="s">
        <v>3324</v>
      </c>
      <c r="H933" s="292" t="s">
        <v>6230</v>
      </c>
      <c r="I933" s="293" t="s">
        <v>5924</v>
      </c>
      <c r="J933" s="293" t="s">
        <v>5972</v>
      </c>
      <c r="K933" s="290" t="s">
        <v>6219</v>
      </c>
      <c r="L933" s="290" t="s">
        <v>5926</v>
      </c>
      <c r="M933" s="290" t="s">
        <v>999</v>
      </c>
      <c r="N933" s="290" t="s">
        <v>6220</v>
      </c>
      <c r="O933" s="290" t="s">
        <v>4726</v>
      </c>
      <c r="P933" s="290" t="s">
        <v>999</v>
      </c>
      <c r="Q933" s="291" t="s">
        <v>6231</v>
      </c>
      <c r="R933" s="276"/>
      <c r="S933" s="277">
        <f>IF(OR(C933="",C933=T$4),NA(),MATCH($B933&amp;$C933,'Smelter Reference List'!$J:$J,0))</f>
        <v>283</v>
      </c>
      <c r="T933" s="278"/>
      <c r="U933" s="278"/>
      <c r="V933" s="278"/>
      <c r="W933" s="278"/>
    </row>
    <row r="934" spans="1:23" s="269" customFormat="1" ht="20.25">
      <c r="A934" s="267"/>
      <c r="B934" s="275" t="s">
        <v>2438</v>
      </c>
      <c r="C934" s="275" t="s">
        <v>3831</v>
      </c>
      <c r="D934" s="168" t="s">
        <v>1</v>
      </c>
      <c r="E934" s="168" t="s">
        <v>1867</v>
      </c>
      <c r="F934" s="168" t="s">
        <v>1513</v>
      </c>
      <c r="G934" s="168" t="s">
        <v>3324</v>
      </c>
      <c r="H934" s="292" t="s">
        <v>4623</v>
      </c>
      <c r="I934" s="293" t="s">
        <v>4623</v>
      </c>
      <c r="J934" s="293" t="s">
        <v>4623</v>
      </c>
      <c r="K934" s="290" t="s">
        <v>4623</v>
      </c>
      <c r="L934" s="290" t="s">
        <v>4623</v>
      </c>
      <c r="M934" s="290" t="s">
        <v>4623</v>
      </c>
      <c r="N934" s="290" t="s">
        <v>4623</v>
      </c>
      <c r="O934" s="290" t="s">
        <v>4623</v>
      </c>
      <c r="P934" s="290" t="s">
        <v>999</v>
      </c>
      <c r="Q934" s="291" t="s">
        <v>4623</v>
      </c>
      <c r="R934" s="276"/>
      <c r="S934" s="277">
        <f>IF(OR(C934="",C934=T$4),NA(),MATCH($B934&amp;$C934,'Smelter Reference List'!$J:$J,0))</f>
        <v>283</v>
      </c>
      <c r="T934" s="278"/>
      <c r="U934" s="278"/>
      <c r="V934" s="278"/>
      <c r="W934" s="278"/>
    </row>
    <row r="935" spans="1:23" s="269" customFormat="1" ht="20.25">
      <c r="A935" s="267"/>
      <c r="B935" s="275" t="s">
        <v>2438</v>
      </c>
      <c r="C935" s="275" t="s">
        <v>3831</v>
      </c>
      <c r="D935" s="168" t="s">
        <v>6232</v>
      </c>
      <c r="E935" s="168" t="s">
        <v>1867</v>
      </c>
      <c r="F935" s="168" t="s">
        <v>6233</v>
      </c>
      <c r="G935" s="168" t="s">
        <v>1629</v>
      </c>
      <c r="H935" s="292" t="s">
        <v>4623</v>
      </c>
      <c r="I935" s="293" t="s">
        <v>4623</v>
      </c>
      <c r="J935" s="293" t="s">
        <v>4623</v>
      </c>
      <c r="K935" s="290" t="s">
        <v>4623</v>
      </c>
      <c r="L935" s="290" t="s">
        <v>4623</v>
      </c>
      <c r="M935" s="290" t="s">
        <v>4623</v>
      </c>
      <c r="N935" s="290" t="s">
        <v>4623</v>
      </c>
      <c r="O935" s="290" t="s">
        <v>4623</v>
      </c>
      <c r="P935" s="290" t="s">
        <v>999</v>
      </c>
      <c r="Q935" s="291" t="s">
        <v>4623</v>
      </c>
      <c r="R935" s="276"/>
      <c r="S935" s="277">
        <f>IF(OR(C935="",C935=T$4),NA(),MATCH($B935&amp;$C935,'Smelter Reference List'!$J:$J,0))</f>
        <v>283</v>
      </c>
      <c r="T935" s="278"/>
      <c r="U935" s="278"/>
      <c r="V935" s="278"/>
      <c r="W935" s="278"/>
    </row>
    <row r="936" spans="1:23" s="269" customFormat="1" ht="20.25">
      <c r="A936" s="267"/>
      <c r="B936" s="275" t="s">
        <v>2438</v>
      </c>
      <c r="C936" s="275" t="s">
        <v>3831</v>
      </c>
      <c r="D936" s="168" t="s">
        <v>6234</v>
      </c>
      <c r="E936" s="168" t="s">
        <v>1867</v>
      </c>
      <c r="F936" s="168" t="s">
        <v>4623</v>
      </c>
      <c r="G936" s="168" t="s">
        <v>4623</v>
      </c>
      <c r="H936" s="292" t="s">
        <v>6235</v>
      </c>
      <c r="I936" s="293" t="s">
        <v>6236</v>
      </c>
      <c r="J936" s="293" t="s">
        <v>6237</v>
      </c>
      <c r="K936" s="290" t="s">
        <v>6238</v>
      </c>
      <c r="L936" s="290" t="s">
        <v>6239</v>
      </c>
      <c r="M936" s="290" t="s">
        <v>999</v>
      </c>
      <c r="N936" s="290" t="s">
        <v>999</v>
      </c>
      <c r="O936" s="290" t="s">
        <v>6220</v>
      </c>
      <c r="P936" s="290" t="s">
        <v>999</v>
      </c>
      <c r="Q936" s="291" t="s">
        <v>4623</v>
      </c>
      <c r="R936" s="276"/>
      <c r="S936" s="277">
        <f>IF(OR(C936="",C936=T$4),NA(),MATCH($B936&amp;$C936,'Smelter Reference List'!$J:$J,0))</f>
        <v>283</v>
      </c>
      <c r="T936" s="278"/>
      <c r="U936" s="278"/>
      <c r="V936" s="278"/>
      <c r="W936" s="278"/>
    </row>
    <row r="937" spans="1:23" s="269" customFormat="1" ht="20.25">
      <c r="A937" s="267"/>
      <c r="B937" s="275" t="s">
        <v>2438</v>
      </c>
      <c r="C937" s="275" t="s">
        <v>3831</v>
      </c>
      <c r="D937" s="168" t="s">
        <v>6240</v>
      </c>
      <c r="E937" s="168" t="s">
        <v>1867</v>
      </c>
      <c r="F937" s="168" t="s">
        <v>4623</v>
      </c>
      <c r="G937" s="168" t="s">
        <v>4623</v>
      </c>
      <c r="H937" s="292" t="s">
        <v>4623</v>
      </c>
      <c r="I937" s="293" t="s">
        <v>4623</v>
      </c>
      <c r="J937" s="293" t="s">
        <v>4623</v>
      </c>
      <c r="K937" s="290" t="s">
        <v>4623</v>
      </c>
      <c r="L937" s="290" t="s">
        <v>4623</v>
      </c>
      <c r="M937" s="290" t="s">
        <v>4623</v>
      </c>
      <c r="N937" s="290" t="s">
        <v>4623</v>
      </c>
      <c r="O937" s="290" t="s">
        <v>4623</v>
      </c>
      <c r="P937" s="290" t="s">
        <v>999</v>
      </c>
      <c r="Q937" s="291" t="s">
        <v>4623</v>
      </c>
      <c r="R937" s="276"/>
      <c r="S937" s="277">
        <f>IF(OR(C937="",C937=T$4),NA(),MATCH($B937&amp;$C937,'Smelter Reference List'!$J:$J,0))</f>
        <v>283</v>
      </c>
      <c r="T937" s="278"/>
      <c r="U937" s="278"/>
      <c r="V937" s="278"/>
      <c r="W937" s="278"/>
    </row>
    <row r="938" spans="1:23" s="269" customFormat="1" ht="20.25">
      <c r="A938" s="267"/>
      <c r="B938" s="275" t="s">
        <v>2438</v>
      </c>
      <c r="C938" s="275" t="s">
        <v>3831</v>
      </c>
      <c r="D938" s="168" t="s">
        <v>6241</v>
      </c>
      <c r="E938" s="168" t="s">
        <v>1867</v>
      </c>
      <c r="F938" s="168" t="s">
        <v>4623</v>
      </c>
      <c r="G938" s="168" t="s">
        <v>4623</v>
      </c>
      <c r="H938" s="292" t="s">
        <v>4623</v>
      </c>
      <c r="I938" s="293" t="s">
        <v>4623</v>
      </c>
      <c r="J938" s="293" t="s">
        <v>4623</v>
      </c>
      <c r="K938" s="290" t="s">
        <v>4623</v>
      </c>
      <c r="L938" s="290" t="s">
        <v>4623</v>
      </c>
      <c r="M938" s="290" t="s">
        <v>4623</v>
      </c>
      <c r="N938" s="290" t="s">
        <v>4623</v>
      </c>
      <c r="O938" s="290" t="s">
        <v>4623</v>
      </c>
      <c r="P938" s="290" t="s">
        <v>999</v>
      </c>
      <c r="Q938" s="291" t="s">
        <v>4623</v>
      </c>
      <c r="R938" s="276"/>
      <c r="S938" s="277">
        <f>IF(OR(C938="",C938=T$4),NA(),MATCH($B938&amp;$C938,'Smelter Reference List'!$J:$J,0))</f>
        <v>283</v>
      </c>
      <c r="T938" s="278"/>
      <c r="U938" s="278"/>
      <c r="V938" s="278"/>
      <c r="W938" s="278"/>
    </row>
    <row r="939" spans="1:23" s="269" customFormat="1" ht="20.25">
      <c r="A939" s="267"/>
      <c r="B939" s="275" t="s">
        <v>2438</v>
      </c>
      <c r="C939" s="275" t="s">
        <v>3831</v>
      </c>
      <c r="D939" s="168" t="s">
        <v>6242</v>
      </c>
      <c r="E939" s="168" t="s">
        <v>1867</v>
      </c>
      <c r="F939" s="168" t="s">
        <v>4623</v>
      </c>
      <c r="G939" s="168" t="s">
        <v>4623</v>
      </c>
      <c r="H939" s="292" t="s">
        <v>4623</v>
      </c>
      <c r="I939" s="293" t="s">
        <v>4623</v>
      </c>
      <c r="J939" s="293" t="s">
        <v>4623</v>
      </c>
      <c r="K939" s="290" t="s">
        <v>4623</v>
      </c>
      <c r="L939" s="290" t="s">
        <v>4623</v>
      </c>
      <c r="M939" s="290" t="s">
        <v>4623</v>
      </c>
      <c r="N939" s="290" t="s">
        <v>4623</v>
      </c>
      <c r="O939" s="290" t="s">
        <v>4623</v>
      </c>
      <c r="P939" s="290" t="s">
        <v>999</v>
      </c>
      <c r="Q939" s="291" t="s">
        <v>4623</v>
      </c>
      <c r="R939" s="276"/>
      <c r="S939" s="277">
        <f>IF(OR(C939="",C939=T$4),NA(),MATCH($B939&amp;$C939,'Smelter Reference List'!$J:$J,0))</f>
        <v>283</v>
      </c>
      <c r="T939" s="278"/>
      <c r="U939" s="278"/>
      <c r="V939" s="278"/>
      <c r="W939" s="278"/>
    </row>
    <row r="940" spans="1:23" s="269" customFormat="1" ht="20.25">
      <c r="A940" s="267"/>
      <c r="B940" s="275" t="s">
        <v>2438</v>
      </c>
      <c r="C940" s="275" t="s">
        <v>3831</v>
      </c>
      <c r="D940" s="168" t="s">
        <v>6243</v>
      </c>
      <c r="E940" s="168" t="s">
        <v>1867</v>
      </c>
      <c r="F940" s="168" t="s">
        <v>4623</v>
      </c>
      <c r="G940" s="168" t="s">
        <v>4623</v>
      </c>
      <c r="H940" s="292" t="s">
        <v>4623</v>
      </c>
      <c r="I940" s="293" t="s">
        <v>4623</v>
      </c>
      <c r="J940" s="293" t="s">
        <v>4623</v>
      </c>
      <c r="K940" s="290" t="s">
        <v>4623</v>
      </c>
      <c r="L940" s="290" t="s">
        <v>4623</v>
      </c>
      <c r="M940" s="290" t="s">
        <v>4623</v>
      </c>
      <c r="N940" s="290" t="s">
        <v>4623</v>
      </c>
      <c r="O940" s="290" t="s">
        <v>4623</v>
      </c>
      <c r="P940" s="290" t="s">
        <v>999</v>
      </c>
      <c r="Q940" s="291" t="s">
        <v>4623</v>
      </c>
      <c r="R940" s="276"/>
      <c r="S940" s="277">
        <f>IF(OR(C940="",C940=T$4),NA(),MATCH($B940&amp;$C940,'Smelter Reference List'!$J:$J,0))</f>
        <v>283</v>
      </c>
      <c r="T940" s="278"/>
      <c r="U940" s="278"/>
      <c r="V940" s="278"/>
      <c r="W940" s="278"/>
    </row>
    <row r="941" spans="1:23" s="269" customFormat="1" ht="20.25">
      <c r="A941" s="267"/>
      <c r="B941" s="275" t="s">
        <v>2438</v>
      </c>
      <c r="C941" s="275" t="s">
        <v>3831</v>
      </c>
      <c r="D941" s="168" t="s">
        <v>6244</v>
      </c>
      <c r="E941" s="168" t="s">
        <v>1867</v>
      </c>
      <c r="F941" s="168" t="s">
        <v>4623</v>
      </c>
      <c r="G941" s="168" t="s">
        <v>4623</v>
      </c>
      <c r="H941" s="292" t="s">
        <v>4623</v>
      </c>
      <c r="I941" s="293" t="s">
        <v>4623</v>
      </c>
      <c r="J941" s="293" t="s">
        <v>4623</v>
      </c>
      <c r="K941" s="290" t="s">
        <v>4623</v>
      </c>
      <c r="L941" s="290" t="s">
        <v>4623</v>
      </c>
      <c r="M941" s="290" t="s">
        <v>4623</v>
      </c>
      <c r="N941" s="290" t="s">
        <v>4623</v>
      </c>
      <c r="O941" s="290" t="s">
        <v>4623</v>
      </c>
      <c r="P941" s="290" t="s">
        <v>999</v>
      </c>
      <c r="Q941" s="291" t="s">
        <v>4623</v>
      </c>
      <c r="R941" s="276"/>
      <c r="S941" s="277">
        <f>IF(OR(C941="",C941=T$4),NA(),MATCH($B941&amp;$C941,'Smelter Reference List'!$J:$J,0))</f>
        <v>283</v>
      </c>
      <c r="T941" s="278"/>
      <c r="U941" s="278"/>
      <c r="V941" s="278"/>
      <c r="W941" s="278"/>
    </row>
    <row r="942" spans="1:23" s="269" customFormat="1" ht="20.25">
      <c r="A942" s="267"/>
      <c r="B942" s="275" t="s">
        <v>2438</v>
      </c>
      <c r="C942" s="275" t="s">
        <v>3831</v>
      </c>
      <c r="D942" s="168" t="s">
        <v>6245</v>
      </c>
      <c r="E942" s="168" t="s">
        <v>1867</v>
      </c>
      <c r="F942" s="168" t="s">
        <v>4623</v>
      </c>
      <c r="G942" s="168" t="s">
        <v>4623</v>
      </c>
      <c r="H942" s="292" t="s">
        <v>4623</v>
      </c>
      <c r="I942" s="293" t="s">
        <v>4623</v>
      </c>
      <c r="J942" s="293" t="s">
        <v>4623</v>
      </c>
      <c r="K942" s="290" t="s">
        <v>4623</v>
      </c>
      <c r="L942" s="290" t="s">
        <v>4623</v>
      </c>
      <c r="M942" s="290" t="s">
        <v>4623</v>
      </c>
      <c r="N942" s="290" t="s">
        <v>4623</v>
      </c>
      <c r="O942" s="290" t="s">
        <v>4623</v>
      </c>
      <c r="P942" s="290" t="s">
        <v>999</v>
      </c>
      <c r="Q942" s="291" t="s">
        <v>4623</v>
      </c>
      <c r="R942" s="276"/>
      <c r="S942" s="277">
        <f>IF(OR(C942="",C942=T$4),NA(),MATCH($B942&amp;$C942,'Smelter Reference List'!$J:$J,0))</f>
        <v>283</v>
      </c>
      <c r="T942" s="278"/>
      <c r="U942" s="278"/>
      <c r="V942" s="278"/>
      <c r="W942" s="278"/>
    </row>
    <row r="943" spans="1:23" s="269" customFormat="1" ht="20.25">
      <c r="A943" s="267"/>
      <c r="B943" s="275" t="s">
        <v>2438</v>
      </c>
      <c r="C943" s="275" t="s">
        <v>3831</v>
      </c>
      <c r="D943" s="168" t="s">
        <v>6246</v>
      </c>
      <c r="E943" s="168" t="s">
        <v>1867</v>
      </c>
      <c r="F943" s="168" t="s">
        <v>4623</v>
      </c>
      <c r="G943" s="168" t="s">
        <v>4623</v>
      </c>
      <c r="H943" s="292" t="s">
        <v>4623</v>
      </c>
      <c r="I943" s="293" t="s">
        <v>4623</v>
      </c>
      <c r="J943" s="293" t="s">
        <v>4623</v>
      </c>
      <c r="K943" s="290" t="s">
        <v>4623</v>
      </c>
      <c r="L943" s="290" t="s">
        <v>4623</v>
      </c>
      <c r="M943" s="290" t="s">
        <v>4623</v>
      </c>
      <c r="N943" s="290" t="s">
        <v>4623</v>
      </c>
      <c r="O943" s="290" t="s">
        <v>4623</v>
      </c>
      <c r="P943" s="290" t="s">
        <v>999</v>
      </c>
      <c r="Q943" s="291" t="s">
        <v>4623</v>
      </c>
      <c r="R943" s="276"/>
      <c r="S943" s="277">
        <f>IF(OR(C943="",C943=T$4),NA(),MATCH($B943&amp;$C943,'Smelter Reference List'!$J:$J,0))</f>
        <v>283</v>
      </c>
      <c r="T943" s="278"/>
      <c r="U943" s="278"/>
      <c r="V943" s="278"/>
      <c r="W943" s="278"/>
    </row>
    <row r="944" spans="1:23" s="269" customFormat="1" ht="20.25">
      <c r="A944" s="267"/>
      <c r="B944" s="275" t="s">
        <v>2438</v>
      </c>
      <c r="C944" s="275" t="s">
        <v>3831</v>
      </c>
      <c r="D944" s="168" t="s">
        <v>6161</v>
      </c>
      <c r="E944" s="168" t="s">
        <v>1867</v>
      </c>
      <c r="F944" s="168" t="s">
        <v>4623</v>
      </c>
      <c r="G944" s="168" t="s">
        <v>4623</v>
      </c>
      <c r="H944" s="292" t="s">
        <v>5972</v>
      </c>
      <c r="I944" s="293" t="s">
        <v>5924</v>
      </c>
      <c r="J944" s="293" t="s">
        <v>4623</v>
      </c>
      <c r="K944" s="290" t="s">
        <v>4623</v>
      </c>
      <c r="L944" s="290" t="s">
        <v>999</v>
      </c>
      <c r="M944" s="290" t="s">
        <v>5927</v>
      </c>
      <c r="N944" s="290" t="s">
        <v>5928</v>
      </c>
      <c r="O944" s="290" t="s">
        <v>4623</v>
      </c>
      <c r="P944" s="290" t="s">
        <v>999</v>
      </c>
      <c r="Q944" s="291" t="s">
        <v>4623</v>
      </c>
      <c r="R944" s="276"/>
      <c r="S944" s="277">
        <f>IF(OR(C944="",C944=T$4),NA(),MATCH($B944&amp;$C944,'Smelter Reference List'!$J:$J,0))</f>
        <v>283</v>
      </c>
      <c r="T944" s="278"/>
      <c r="U944" s="278"/>
      <c r="V944" s="278"/>
      <c r="W944" s="278"/>
    </row>
    <row r="945" spans="1:23" s="269" customFormat="1" ht="20.25">
      <c r="A945" s="267"/>
      <c r="B945" s="275" t="s">
        <v>2438</v>
      </c>
      <c r="C945" s="275" t="s">
        <v>3831</v>
      </c>
      <c r="D945" s="168" t="s">
        <v>6247</v>
      </c>
      <c r="E945" s="168" t="s">
        <v>1867</v>
      </c>
      <c r="F945" s="168" t="s">
        <v>4623</v>
      </c>
      <c r="G945" s="168" t="s">
        <v>4623</v>
      </c>
      <c r="H945" s="292" t="s">
        <v>4623</v>
      </c>
      <c r="I945" s="293" t="s">
        <v>4623</v>
      </c>
      <c r="J945" s="293" t="s">
        <v>4623</v>
      </c>
      <c r="K945" s="290" t="s">
        <v>4623</v>
      </c>
      <c r="L945" s="290" t="s">
        <v>4623</v>
      </c>
      <c r="M945" s="290" t="s">
        <v>4623</v>
      </c>
      <c r="N945" s="290" t="s">
        <v>4623</v>
      </c>
      <c r="O945" s="290" t="s">
        <v>4623</v>
      </c>
      <c r="P945" s="290" t="s">
        <v>999</v>
      </c>
      <c r="Q945" s="291" t="s">
        <v>4623</v>
      </c>
      <c r="R945" s="276"/>
      <c r="S945" s="277">
        <f>IF(OR(C945="",C945=T$4),NA(),MATCH($B945&amp;$C945,'Smelter Reference List'!$J:$J,0))</f>
        <v>283</v>
      </c>
      <c r="T945" s="278"/>
      <c r="U945" s="278"/>
      <c r="V945" s="278"/>
      <c r="W945" s="278"/>
    </row>
    <row r="946" spans="1:23" s="269" customFormat="1" ht="20.25">
      <c r="A946" s="267"/>
      <c r="B946" s="275" t="s">
        <v>2438</v>
      </c>
      <c r="C946" s="275" t="s">
        <v>3831</v>
      </c>
      <c r="D946" s="168" t="s">
        <v>6248</v>
      </c>
      <c r="E946" s="168" t="s">
        <v>1874</v>
      </c>
      <c r="F946" s="168" t="s">
        <v>4623</v>
      </c>
      <c r="G946" s="168" t="s">
        <v>4623</v>
      </c>
      <c r="H946" s="292" t="s">
        <v>4623</v>
      </c>
      <c r="I946" s="293" t="s">
        <v>4623</v>
      </c>
      <c r="J946" s="293" t="s">
        <v>4623</v>
      </c>
      <c r="K946" s="290" t="s">
        <v>4623</v>
      </c>
      <c r="L946" s="290" t="s">
        <v>4623</v>
      </c>
      <c r="M946" s="290" t="s">
        <v>4623</v>
      </c>
      <c r="N946" s="290" t="s">
        <v>4623</v>
      </c>
      <c r="O946" s="290" t="s">
        <v>4623</v>
      </c>
      <c r="P946" s="290" t="s">
        <v>999</v>
      </c>
      <c r="Q946" s="291" t="s">
        <v>4623</v>
      </c>
      <c r="R946" s="276"/>
      <c r="S946" s="277">
        <f>IF(OR(C946="",C946=T$4),NA(),MATCH($B946&amp;$C946,'Smelter Reference List'!$J:$J,0))</f>
        <v>283</v>
      </c>
      <c r="T946" s="278"/>
      <c r="U946" s="278"/>
      <c r="V946" s="278"/>
      <c r="W946" s="278"/>
    </row>
    <row r="947" spans="1:23" s="269" customFormat="1" ht="20.25">
      <c r="A947" s="267"/>
      <c r="B947" s="275" t="s">
        <v>2438</v>
      </c>
      <c r="C947" s="275" t="s">
        <v>3831</v>
      </c>
      <c r="D947" s="168" t="s">
        <v>6249</v>
      </c>
      <c r="E947" s="168" t="s">
        <v>1874</v>
      </c>
      <c r="F947" s="168" t="s">
        <v>4623</v>
      </c>
      <c r="G947" s="168" t="s">
        <v>4623</v>
      </c>
      <c r="H947" s="292" t="s">
        <v>6250</v>
      </c>
      <c r="I947" s="293" t="s">
        <v>6251</v>
      </c>
      <c r="J947" s="293" t="s">
        <v>6252</v>
      </c>
      <c r="K947" s="290" t="s">
        <v>6253</v>
      </c>
      <c r="L947" s="290" t="s">
        <v>6254</v>
      </c>
      <c r="M947" s="290" t="s">
        <v>4623</v>
      </c>
      <c r="N947" s="290" t="s">
        <v>4623</v>
      </c>
      <c r="O947" s="290" t="s">
        <v>4623</v>
      </c>
      <c r="P947" s="290" t="s">
        <v>999</v>
      </c>
      <c r="Q947" s="291" t="s">
        <v>4623</v>
      </c>
      <c r="R947" s="276"/>
      <c r="S947" s="277">
        <f>IF(OR(C947="",C947=T$4),NA(),MATCH($B947&amp;$C947,'Smelter Reference List'!$J:$J,0))</f>
        <v>283</v>
      </c>
      <c r="T947" s="278"/>
      <c r="U947" s="278"/>
      <c r="V947" s="278"/>
      <c r="W947" s="278"/>
    </row>
    <row r="948" spans="1:23" s="269" customFormat="1" ht="20.25">
      <c r="A948" s="267"/>
      <c r="B948" s="275" t="s">
        <v>2438</v>
      </c>
      <c r="C948" s="275" t="s">
        <v>3608</v>
      </c>
      <c r="D948" s="168" t="s">
        <v>6255</v>
      </c>
      <c r="E948" s="168" t="s">
        <v>1825</v>
      </c>
      <c r="F948" s="168" t="s">
        <v>1454</v>
      </c>
      <c r="G948" s="168" t="s">
        <v>3324</v>
      </c>
      <c r="H948" s="292" t="s">
        <v>4623</v>
      </c>
      <c r="I948" s="293" t="s">
        <v>4623</v>
      </c>
      <c r="J948" s="293" t="s">
        <v>4623</v>
      </c>
      <c r="K948" s="290" t="s">
        <v>4623</v>
      </c>
      <c r="L948" s="290" t="s">
        <v>4623</v>
      </c>
      <c r="M948" s="290" t="s">
        <v>4623</v>
      </c>
      <c r="N948" s="290" t="s">
        <v>4623</v>
      </c>
      <c r="O948" s="290" t="s">
        <v>4623</v>
      </c>
      <c r="P948" s="290" t="s">
        <v>999</v>
      </c>
      <c r="Q948" s="291" t="s">
        <v>4623</v>
      </c>
      <c r="R948" s="276"/>
      <c r="S948" s="277">
        <f>IF(OR(C948="",C948=T$4),NA(),MATCH($B948&amp;$C948,'Smelter Reference List'!$J:$J,0))</f>
        <v>269</v>
      </c>
      <c r="T948" s="278"/>
      <c r="U948" s="278"/>
      <c r="V948" s="278"/>
      <c r="W948" s="278"/>
    </row>
    <row r="949" spans="1:23" s="269" customFormat="1" ht="20.25">
      <c r="A949" s="267"/>
      <c r="B949" s="275" t="s">
        <v>2438</v>
      </c>
      <c r="C949" s="275" t="s">
        <v>1573</v>
      </c>
      <c r="D949" s="168" t="s">
        <v>1573</v>
      </c>
      <c r="E949" s="168" t="s">
        <v>2362</v>
      </c>
      <c r="F949" s="168" t="s">
        <v>1455</v>
      </c>
      <c r="G949" s="168" t="s">
        <v>3324</v>
      </c>
      <c r="H949" s="292" t="s">
        <v>6256</v>
      </c>
      <c r="I949" s="293" t="s">
        <v>5624</v>
      </c>
      <c r="J949" s="293" t="s">
        <v>3341</v>
      </c>
      <c r="K949" s="290" t="s">
        <v>4623</v>
      </c>
      <c r="L949" s="290" t="s">
        <v>4623</v>
      </c>
      <c r="M949" s="290" t="s">
        <v>4623</v>
      </c>
      <c r="N949" s="290" t="s">
        <v>6193</v>
      </c>
      <c r="O949" s="290" t="s">
        <v>6193</v>
      </c>
      <c r="P949" s="290" t="s">
        <v>999</v>
      </c>
      <c r="Q949" s="291" t="s">
        <v>4623</v>
      </c>
      <c r="R949" s="276"/>
      <c r="S949" s="277">
        <f>IF(OR(C949="",C949=T$4),NA(),MATCH($B949&amp;$C949,'Smelter Reference List'!$J:$J,0))</f>
        <v>272</v>
      </c>
      <c r="T949" s="278"/>
      <c r="U949" s="278"/>
      <c r="V949" s="278"/>
      <c r="W949" s="278"/>
    </row>
    <row r="950" spans="1:23" s="269" customFormat="1" ht="20.25">
      <c r="A950" s="267"/>
      <c r="B950" s="275" t="s">
        <v>2438</v>
      </c>
      <c r="C950" s="275" t="s">
        <v>3611</v>
      </c>
      <c r="D950" s="168" t="s">
        <v>3611</v>
      </c>
      <c r="E950" s="168" t="s">
        <v>1867</v>
      </c>
      <c r="F950" s="168" t="s">
        <v>1456</v>
      </c>
      <c r="G950" s="168" t="s">
        <v>3324</v>
      </c>
      <c r="H950" s="292" t="s">
        <v>4623</v>
      </c>
      <c r="I950" s="293" t="s">
        <v>4623</v>
      </c>
      <c r="J950" s="293" t="s">
        <v>4623</v>
      </c>
      <c r="K950" s="290" t="s">
        <v>4623</v>
      </c>
      <c r="L950" s="290" t="s">
        <v>4623</v>
      </c>
      <c r="M950" s="290" t="s">
        <v>4623</v>
      </c>
      <c r="N950" s="290" t="s">
        <v>4623</v>
      </c>
      <c r="O950" s="290" t="s">
        <v>6220</v>
      </c>
      <c r="P950" s="290" t="s">
        <v>999</v>
      </c>
      <c r="Q950" s="291" t="s">
        <v>4623</v>
      </c>
      <c r="R950" s="276"/>
      <c r="S950" s="277">
        <f>IF(OR(C950="",C950=T$4),NA(),MATCH($B950&amp;$C950,'Smelter Reference List'!$J:$J,0))</f>
        <v>273</v>
      </c>
      <c r="T950" s="278"/>
      <c r="U950" s="278"/>
      <c r="V950" s="278"/>
      <c r="W950" s="278"/>
    </row>
    <row r="951" spans="1:23" s="269" customFormat="1" ht="20.25">
      <c r="A951" s="267"/>
      <c r="B951" s="275" t="s">
        <v>2438</v>
      </c>
      <c r="C951" s="275" t="s">
        <v>3646</v>
      </c>
      <c r="D951" s="168" t="s">
        <v>3646</v>
      </c>
      <c r="E951" s="168" t="s">
        <v>1867</v>
      </c>
      <c r="F951" s="168" t="s">
        <v>3647</v>
      </c>
      <c r="G951" s="168" t="s">
        <v>3324</v>
      </c>
      <c r="H951" s="292" t="s">
        <v>4623</v>
      </c>
      <c r="I951" s="293" t="s">
        <v>4623</v>
      </c>
      <c r="J951" s="293" t="s">
        <v>4623</v>
      </c>
      <c r="K951" s="290" t="s">
        <v>4623</v>
      </c>
      <c r="L951" s="290" t="s">
        <v>4623</v>
      </c>
      <c r="M951" s="290" t="s">
        <v>4623</v>
      </c>
      <c r="N951" s="290" t="s">
        <v>4623</v>
      </c>
      <c r="O951" s="290" t="s">
        <v>4628</v>
      </c>
      <c r="P951" s="290" t="s">
        <v>999</v>
      </c>
      <c r="Q951" s="291" t="s">
        <v>4623</v>
      </c>
      <c r="R951" s="276"/>
      <c r="S951" s="277">
        <f>IF(OR(C951="",C951=T$4),NA(),MATCH($B951&amp;$C951,'Smelter Reference List'!$J:$J,0))</f>
        <v>274</v>
      </c>
      <c r="T951" s="278"/>
      <c r="U951" s="278"/>
      <c r="V951" s="278"/>
      <c r="W951" s="278"/>
    </row>
    <row r="952" spans="1:23" s="269" customFormat="1" ht="20.25">
      <c r="A952" s="267"/>
      <c r="B952" s="275" t="s">
        <v>2438</v>
      </c>
      <c r="C952" s="275" t="s">
        <v>1893</v>
      </c>
      <c r="D952" s="168" t="s">
        <v>6257</v>
      </c>
      <c r="E952" s="168" t="s">
        <v>2363</v>
      </c>
      <c r="F952" s="168" t="s">
        <v>1457</v>
      </c>
      <c r="G952" s="168" t="s">
        <v>3324</v>
      </c>
      <c r="H952" s="292" t="s">
        <v>4623</v>
      </c>
      <c r="I952" s="293" t="s">
        <v>4623</v>
      </c>
      <c r="J952" s="293" t="s">
        <v>4623</v>
      </c>
      <c r="K952" s="290" t="s">
        <v>4623</v>
      </c>
      <c r="L952" s="290" t="s">
        <v>4623</v>
      </c>
      <c r="M952" s="290" t="s">
        <v>4623</v>
      </c>
      <c r="N952" s="290" t="s">
        <v>4623</v>
      </c>
      <c r="O952" s="290" t="s">
        <v>6258</v>
      </c>
      <c r="P952" s="290" t="s">
        <v>999</v>
      </c>
      <c r="Q952" s="291" t="s">
        <v>4623</v>
      </c>
      <c r="R952" s="276"/>
      <c r="S952" s="277">
        <f>IF(OR(C952="",C952=T$4),NA(),MATCH($B952&amp;$C952,'Smelter Reference List'!$J:$J,0))</f>
        <v>275</v>
      </c>
      <c r="T952" s="278"/>
      <c r="U952" s="278"/>
      <c r="V952" s="278"/>
      <c r="W952" s="278"/>
    </row>
    <row r="953" spans="1:23" s="269" customFormat="1" ht="20.25">
      <c r="A953" s="267"/>
      <c r="B953" s="275" t="s">
        <v>2438</v>
      </c>
      <c r="C953" s="275" t="s">
        <v>4438</v>
      </c>
      <c r="D953" s="168" t="s">
        <v>6259</v>
      </c>
      <c r="E953" s="168" t="s">
        <v>2294</v>
      </c>
      <c r="F953" s="168" t="s">
        <v>2843</v>
      </c>
      <c r="G953" s="168" t="s">
        <v>3324</v>
      </c>
      <c r="H953" s="292" t="s">
        <v>4623</v>
      </c>
      <c r="I953" s="293" t="s">
        <v>4623</v>
      </c>
      <c r="J953" s="293" t="s">
        <v>4623</v>
      </c>
      <c r="K953" s="290" t="s">
        <v>4623</v>
      </c>
      <c r="L953" s="290" t="s">
        <v>4623</v>
      </c>
      <c r="M953" s="290" t="s">
        <v>4623</v>
      </c>
      <c r="N953" s="290" t="s">
        <v>4623</v>
      </c>
      <c r="O953" s="290" t="s">
        <v>4623</v>
      </c>
      <c r="P953" s="290" t="s">
        <v>999</v>
      </c>
      <c r="Q953" s="291" t="s">
        <v>4623</v>
      </c>
      <c r="R953" s="276"/>
      <c r="S953" s="277">
        <f>IF(OR(C953="",C953=T$4),NA(),MATCH($B953&amp;$C953,'Smelter Reference List'!$J:$J,0))</f>
        <v>277</v>
      </c>
      <c r="T953" s="278"/>
      <c r="U953" s="278"/>
      <c r="V953" s="278"/>
      <c r="W953" s="278"/>
    </row>
    <row r="954" spans="1:23" s="269" customFormat="1" ht="20.25">
      <c r="A954" s="267"/>
      <c r="B954" s="275" t="s">
        <v>2437</v>
      </c>
      <c r="C954" s="275" t="s">
        <v>4388</v>
      </c>
      <c r="D954" s="168" t="s">
        <v>4388</v>
      </c>
      <c r="E954" s="168" t="s">
        <v>1874</v>
      </c>
      <c r="F954" s="168" t="s">
        <v>4389</v>
      </c>
      <c r="G954" s="168" t="s">
        <v>3324</v>
      </c>
      <c r="H954" s="292" t="s">
        <v>4623</v>
      </c>
      <c r="I954" s="293" t="s">
        <v>4623</v>
      </c>
      <c r="J954" s="293" t="s">
        <v>4623</v>
      </c>
      <c r="K954" s="290" t="s">
        <v>4623</v>
      </c>
      <c r="L954" s="290" t="s">
        <v>4623</v>
      </c>
      <c r="M954" s="290" t="s">
        <v>4623</v>
      </c>
      <c r="N954" s="290" t="s">
        <v>4623</v>
      </c>
      <c r="O954" s="290" t="s">
        <v>4623</v>
      </c>
      <c r="P954" s="290" t="s">
        <v>999</v>
      </c>
      <c r="Q954" s="291" t="s">
        <v>4623</v>
      </c>
      <c r="R954" s="276"/>
      <c r="S954" s="277">
        <f>IF(OR(C954="",C954=T$4),NA(),MATCH($B954&amp;$C954,'Smelter Reference List'!$J:$J,0))</f>
        <v>290</v>
      </c>
      <c r="T954" s="278"/>
      <c r="U954" s="278"/>
      <c r="V954" s="278"/>
      <c r="W954" s="278"/>
    </row>
    <row r="955" spans="1:23" s="269" customFormat="1" ht="20.25">
      <c r="A955" s="267"/>
      <c r="B955" s="275" t="s">
        <v>2437</v>
      </c>
      <c r="C955" s="275" t="s">
        <v>3716</v>
      </c>
      <c r="D955" s="168" t="s">
        <v>3716</v>
      </c>
      <c r="E955" s="168" t="s">
        <v>2351</v>
      </c>
      <c r="F955" s="168" t="s">
        <v>2810</v>
      </c>
      <c r="G955" s="168" t="s">
        <v>3324</v>
      </c>
      <c r="H955" s="292" t="s">
        <v>4623</v>
      </c>
      <c r="I955" s="293" t="s">
        <v>4623</v>
      </c>
      <c r="J955" s="293" t="s">
        <v>4623</v>
      </c>
      <c r="K955" s="290" t="s">
        <v>4623</v>
      </c>
      <c r="L955" s="290" t="s">
        <v>4623</v>
      </c>
      <c r="M955" s="290" t="s">
        <v>4623</v>
      </c>
      <c r="N955" s="290" t="s">
        <v>4623</v>
      </c>
      <c r="O955" s="290" t="s">
        <v>4623</v>
      </c>
      <c r="P955" s="290" t="s">
        <v>999</v>
      </c>
      <c r="Q955" s="291" t="s">
        <v>4623</v>
      </c>
      <c r="R955" s="276"/>
      <c r="S955" s="277">
        <f>IF(OR(C955="",C955=T$4),NA(),MATCH($B955&amp;$C955,'Smelter Reference List'!$J:$J,0))</f>
        <v>291</v>
      </c>
      <c r="T955" s="278"/>
      <c r="U955" s="278"/>
      <c r="V955" s="278"/>
      <c r="W955" s="278"/>
    </row>
    <row r="956" spans="1:23" s="269" customFormat="1" ht="20.25">
      <c r="A956" s="267"/>
      <c r="B956" s="275" t="s">
        <v>2437</v>
      </c>
      <c r="C956" s="275" t="s">
        <v>67</v>
      </c>
      <c r="D956" s="168" t="s">
        <v>5546</v>
      </c>
      <c r="E956" s="168" t="s">
        <v>2351</v>
      </c>
      <c r="F956" s="168" t="s">
        <v>1488</v>
      </c>
      <c r="G956" s="168" t="s">
        <v>3324</v>
      </c>
      <c r="H956" s="292" t="s">
        <v>4623</v>
      </c>
      <c r="I956" s="293" t="s">
        <v>4623</v>
      </c>
      <c r="J956" s="293" t="s">
        <v>4623</v>
      </c>
      <c r="K956" s="290" t="s">
        <v>4623</v>
      </c>
      <c r="L956" s="290" t="s">
        <v>4623</v>
      </c>
      <c r="M956" s="290" t="s">
        <v>4623</v>
      </c>
      <c r="N956" s="290" t="s">
        <v>4623</v>
      </c>
      <c r="O956" s="290" t="s">
        <v>4623</v>
      </c>
      <c r="P956" s="290" t="s">
        <v>999</v>
      </c>
      <c r="Q956" s="291" t="s">
        <v>4623</v>
      </c>
      <c r="R956" s="276"/>
      <c r="S956" s="277">
        <f>IF(OR(C956="",C956=T$4),NA(),MATCH($B956&amp;$C956,'Smelter Reference List'!$J:$J,0))</f>
        <v>292</v>
      </c>
      <c r="T956" s="278"/>
      <c r="U956" s="278"/>
      <c r="V956" s="278"/>
      <c r="W956" s="278"/>
    </row>
    <row r="957" spans="1:23" s="269" customFormat="1" ht="20.25">
      <c r="A957" s="267"/>
      <c r="B957" s="275" t="s">
        <v>2437</v>
      </c>
      <c r="C957" s="275" t="s">
        <v>3721</v>
      </c>
      <c r="D957" s="168" t="s">
        <v>5568</v>
      </c>
      <c r="E957" s="168" t="s">
        <v>2351</v>
      </c>
      <c r="F957" s="168" t="s">
        <v>1495</v>
      </c>
      <c r="G957" s="168" t="s">
        <v>3324</v>
      </c>
      <c r="H957" s="292" t="s">
        <v>6260</v>
      </c>
      <c r="I957" s="293" t="s">
        <v>3668</v>
      </c>
      <c r="J957" s="293" t="s">
        <v>3669</v>
      </c>
      <c r="K957" s="290" t="s">
        <v>6261</v>
      </c>
      <c r="L957" s="290" t="s">
        <v>6262</v>
      </c>
      <c r="M957" s="290" t="s">
        <v>4623</v>
      </c>
      <c r="N957" s="290" t="s">
        <v>6263</v>
      </c>
      <c r="O957" s="290" t="s">
        <v>4792</v>
      </c>
      <c r="P957" s="290" t="s">
        <v>999</v>
      </c>
      <c r="Q957" s="291" t="s">
        <v>4623</v>
      </c>
      <c r="R957" s="276"/>
      <c r="S957" s="277">
        <f>IF(OR(C957="",C957=T$4),NA(),MATCH($B957&amp;$C957,'Smelter Reference List'!$J:$J,0))</f>
        <v>293</v>
      </c>
      <c r="T957" s="278"/>
      <c r="U957" s="278"/>
      <c r="V957" s="278"/>
      <c r="W957" s="278"/>
    </row>
    <row r="958" spans="1:23" s="269" customFormat="1" ht="20.25">
      <c r="A958" s="267"/>
      <c r="B958" s="275" t="s">
        <v>2437</v>
      </c>
      <c r="C958" s="275" t="s">
        <v>4560</v>
      </c>
      <c r="D958" s="168" t="s">
        <v>6264</v>
      </c>
      <c r="E958" s="168" t="s">
        <v>2294</v>
      </c>
      <c r="F958" s="168" t="s">
        <v>1505</v>
      </c>
      <c r="G958" s="168" t="s">
        <v>3324</v>
      </c>
      <c r="H958" s="292" t="s">
        <v>5028</v>
      </c>
      <c r="I958" s="293" t="s">
        <v>3364</v>
      </c>
      <c r="J958" s="293" t="s">
        <v>4623</v>
      </c>
      <c r="K958" s="290" t="s">
        <v>4623</v>
      </c>
      <c r="L958" s="290" t="s">
        <v>4623</v>
      </c>
      <c r="M958" s="290" t="s">
        <v>4623</v>
      </c>
      <c r="N958" s="290" t="s">
        <v>4623</v>
      </c>
      <c r="O958" s="290" t="s">
        <v>4623</v>
      </c>
      <c r="P958" s="290" t="s">
        <v>999</v>
      </c>
      <c r="Q958" s="291" t="s">
        <v>4623</v>
      </c>
      <c r="R958" s="276"/>
      <c r="S958" s="277">
        <f>IF(OR(C958="",C958=T$4),NA(),MATCH($B958&amp;$C958,'Smelter Reference List'!$J:$J,0))</f>
        <v>294</v>
      </c>
      <c r="T958" s="278"/>
      <c r="U958" s="278"/>
      <c r="V958" s="278"/>
      <c r="W958" s="278"/>
    </row>
    <row r="959" spans="1:23" s="269" customFormat="1" ht="20.25">
      <c r="A959" s="267"/>
      <c r="B959" s="275" t="s">
        <v>2437</v>
      </c>
      <c r="C959" s="275" t="s">
        <v>4561</v>
      </c>
      <c r="D959" s="168" t="s">
        <v>6265</v>
      </c>
      <c r="E959" s="168" t="s">
        <v>2294</v>
      </c>
      <c r="F959" s="168" t="s">
        <v>1459</v>
      </c>
      <c r="G959" s="168" t="s">
        <v>3324</v>
      </c>
      <c r="H959" s="292" t="s">
        <v>4623</v>
      </c>
      <c r="I959" s="293" t="s">
        <v>4623</v>
      </c>
      <c r="J959" s="293" t="s">
        <v>4623</v>
      </c>
      <c r="K959" s="290" t="s">
        <v>4623</v>
      </c>
      <c r="L959" s="290" t="s">
        <v>4623</v>
      </c>
      <c r="M959" s="290" t="s">
        <v>4623</v>
      </c>
      <c r="N959" s="290" t="s">
        <v>4623</v>
      </c>
      <c r="O959" s="290" t="s">
        <v>4623</v>
      </c>
      <c r="P959" s="290" t="s">
        <v>999</v>
      </c>
      <c r="Q959" s="291" t="s">
        <v>4623</v>
      </c>
      <c r="R959" s="276"/>
      <c r="S959" s="277">
        <f>IF(OR(C959="",C959=T$4),NA(),MATCH($B959&amp;$C959,'Smelter Reference List'!$J:$J,0))</f>
        <v>295</v>
      </c>
      <c r="T959" s="278"/>
      <c r="U959" s="278"/>
      <c r="V959" s="278"/>
      <c r="W959" s="278"/>
    </row>
    <row r="960" spans="1:23" s="269" customFormat="1" ht="20.25">
      <c r="A960" s="267"/>
      <c r="B960" s="275" t="s">
        <v>2437</v>
      </c>
      <c r="C960" s="275" t="s">
        <v>2701</v>
      </c>
      <c r="D960" s="168" t="s">
        <v>2701</v>
      </c>
      <c r="E960" s="168" t="s">
        <v>2294</v>
      </c>
      <c r="F960" s="168" t="s">
        <v>1474</v>
      </c>
      <c r="G960" s="168" t="s">
        <v>3324</v>
      </c>
      <c r="H960" s="292" t="s">
        <v>6266</v>
      </c>
      <c r="I960" s="293" t="s">
        <v>3656</v>
      </c>
      <c r="J960" s="293" t="s">
        <v>4623</v>
      </c>
      <c r="K960" s="290" t="s">
        <v>4623</v>
      </c>
      <c r="L960" s="290" t="s">
        <v>4623</v>
      </c>
      <c r="M960" s="290" t="s">
        <v>4623</v>
      </c>
      <c r="N960" s="290" t="s">
        <v>4623</v>
      </c>
      <c r="O960" s="290" t="s">
        <v>4623</v>
      </c>
      <c r="P960" s="290" t="s">
        <v>999</v>
      </c>
      <c r="Q960" s="291" t="s">
        <v>4623</v>
      </c>
      <c r="R960" s="276"/>
      <c r="S960" s="277">
        <f>IF(OR(C960="",C960=T$4),NA(),MATCH($B960&amp;$C960,'Smelter Reference List'!$J:$J,0))</f>
        <v>297</v>
      </c>
      <c r="T960" s="278"/>
      <c r="U960" s="278"/>
      <c r="V960" s="278"/>
      <c r="W960" s="278"/>
    </row>
    <row r="961" spans="1:23" s="269" customFormat="1" ht="20.25">
      <c r="A961" s="267"/>
      <c r="B961" s="275" t="s">
        <v>2437</v>
      </c>
      <c r="C961" s="275" t="s">
        <v>68</v>
      </c>
      <c r="D961" s="168" t="s">
        <v>6267</v>
      </c>
      <c r="E961" s="168" t="s">
        <v>2294</v>
      </c>
      <c r="F961" s="168" t="s">
        <v>1506</v>
      </c>
      <c r="G961" s="168" t="s">
        <v>3324</v>
      </c>
      <c r="H961" s="292" t="s">
        <v>6268</v>
      </c>
      <c r="I961" s="293" t="s">
        <v>4623</v>
      </c>
      <c r="J961" s="293" t="s">
        <v>4623</v>
      </c>
      <c r="K961" s="290" t="s">
        <v>6269</v>
      </c>
      <c r="L961" s="290" t="s">
        <v>6270</v>
      </c>
      <c r="M961" s="290" t="s">
        <v>4769</v>
      </c>
      <c r="N961" s="290" t="s">
        <v>4769</v>
      </c>
      <c r="O961" s="290" t="s">
        <v>4667</v>
      </c>
      <c r="P961" s="290" t="s">
        <v>999</v>
      </c>
      <c r="Q961" s="291" t="s">
        <v>4623</v>
      </c>
      <c r="R961" s="276"/>
      <c r="S961" s="277">
        <f>IF(OR(C961="",C961=T$4),NA(),MATCH($B961&amp;$C961,'Smelter Reference List'!$J:$J,0))</f>
        <v>299</v>
      </c>
      <c r="T961" s="278"/>
      <c r="U961" s="278"/>
      <c r="V961" s="278"/>
      <c r="W961" s="278"/>
    </row>
    <row r="962" spans="1:23" s="269" customFormat="1" ht="20.25">
      <c r="A962" s="267"/>
      <c r="B962" s="275" t="s">
        <v>2437</v>
      </c>
      <c r="C962" s="275" t="s">
        <v>4397</v>
      </c>
      <c r="D962" s="168" t="s">
        <v>6271</v>
      </c>
      <c r="E962" s="168" t="s">
        <v>2294</v>
      </c>
      <c r="F962" s="168" t="s">
        <v>1460</v>
      </c>
      <c r="G962" s="168" t="s">
        <v>3324</v>
      </c>
      <c r="H962" s="292" t="s">
        <v>4623</v>
      </c>
      <c r="I962" s="293" t="s">
        <v>4623</v>
      </c>
      <c r="J962" s="293" t="s">
        <v>4623</v>
      </c>
      <c r="K962" s="290" t="s">
        <v>4623</v>
      </c>
      <c r="L962" s="290" t="s">
        <v>4623</v>
      </c>
      <c r="M962" s="290" t="s">
        <v>4623</v>
      </c>
      <c r="N962" s="290" t="s">
        <v>4623</v>
      </c>
      <c r="O962" s="290" t="s">
        <v>4623</v>
      </c>
      <c r="P962" s="290" t="s">
        <v>999</v>
      </c>
      <c r="Q962" s="291" t="s">
        <v>4623</v>
      </c>
      <c r="R962" s="276"/>
      <c r="S962" s="277">
        <f>IF(OR(C962="",C962=T$4),NA(),MATCH($B962&amp;$C962,'Smelter Reference List'!$J:$J,0))</f>
        <v>300</v>
      </c>
      <c r="T962" s="278"/>
      <c r="U962" s="278"/>
      <c r="V962" s="278"/>
      <c r="W962" s="278"/>
    </row>
    <row r="963" spans="1:23" s="269" customFormat="1" ht="20.25">
      <c r="A963" s="267"/>
      <c r="B963" s="275" t="s">
        <v>2437</v>
      </c>
      <c r="C963" s="275" t="s">
        <v>4391</v>
      </c>
      <c r="D963" s="168" t="s">
        <v>4391</v>
      </c>
      <c r="E963" s="168" t="s">
        <v>2283</v>
      </c>
      <c r="F963" s="168" t="s">
        <v>1462</v>
      </c>
      <c r="G963" s="168" t="s">
        <v>3324</v>
      </c>
      <c r="H963" s="292" t="s">
        <v>4623</v>
      </c>
      <c r="I963" s="293" t="s">
        <v>4623</v>
      </c>
      <c r="J963" s="293" t="s">
        <v>4623</v>
      </c>
      <c r="K963" s="290" t="s">
        <v>4623</v>
      </c>
      <c r="L963" s="290" t="s">
        <v>4623</v>
      </c>
      <c r="M963" s="290" t="s">
        <v>4623</v>
      </c>
      <c r="N963" s="290" t="s">
        <v>4623</v>
      </c>
      <c r="O963" s="290" t="s">
        <v>6272</v>
      </c>
      <c r="P963" s="290" t="s">
        <v>999</v>
      </c>
      <c r="Q963" s="291" t="s">
        <v>4623</v>
      </c>
      <c r="R963" s="276"/>
      <c r="S963" s="277">
        <f>IF(OR(C963="",C963=T$4),NA(),MATCH($B963&amp;$C963,'Smelter Reference List'!$J:$J,0))</f>
        <v>304</v>
      </c>
      <c r="T963" s="278"/>
      <c r="U963" s="278"/>
      <c r="V963" s="278"/>
      <c r="W963" s="278"/>
    </row>
    <row r="964" spans="1:23" s="269" customFormat="1" ht="20.25">
      <c r="A964" s="267"/>
      <c r="B964" s="275" t="s">
        <v>2437</v>
      </c>
      <c r="C964" s="275" t="s">
        <v>3753</v>
      </c>
      <c r="D964" s="168" t="s">
        <v>6273</v>
      </c>
      <c r="E964" s="168" t="s">
        <v>2351</v>
      </c>
      <c r="F964" s="168" t="s">
        <v>3754</v>
      </c>
      <c r="G964" s="168" t="s">
        <v>3324</v>
      </c>
      <c r="H964" s="292" t="s">
        <v>4623</v>
      </c>
      <c r="I964" s="293" t="s">
        <v>4623</v>
      </c>
      <c r="J964" s="293" t="s">
        <v>4623</v>
      </c>
      <c r="K964" s="290" t="s">
        <v>4623</v>
      </c>
      <c r="L964" s="290" t="s">
        <v>4623</v>
      </c>
      <c r="M964" s="290" t="s">
        <v>4623</v>
      </c>
      <c r="N964" s="290" t="s">
        <v>4623</v>
      </c>
      <c r="O964" s="290" t="s">
        <v>4645</v>
      </c>
      <c r="P964" s="290" t="s">
        <v>999</v>
      </c>
      <c r="Q964" s="291" t="s">
        <v>4623</v>
      </c>
      <c r="R964" s="276"/>
      <c r="S964" s="277">
        <f>IF(OR(C964="",C964=T$4),NA(),MATCH($B964&amp;$C964,'Smelter Reference List'!$J:$J,0))</f>
        <v>307</v>
      </c>
      <c r="T964" s="278"/>
      <c r="U964" s="278"/>
      <c r="V964" s="278"/>
      <c r="W964" s="278"/>
    </row>
    <row r="965" spans="1:23" s="269" customFormat="1" ht="20.25">
      <c r="A965" s="267"/>
      <c r="B965" s="275" t="s">
        <v>2437</v>
      </c>
      <c r="C965" s="275" t="s">
        <v>2799</v>
      </c>
      <c r="D965" s="168" t="s">
        <v>6274</v>
      </c>
      <c r="E965" s="168" t="s">
        <v>2351</v>
      </c>
      <c r="F965" s="168" t="s">
        <v>2800</v>
      </c>
      <c r="G965" s="168" t="s">
        <v>3324</v>
      </c>
      <c r="H965" s="292" t="s">
        <v>4623</v>
      </c>
      <c r="I965" s="293" t="s">
        <v>4623</v>
      </c>
      <c r="J965" s="293" t="s">
        <v>4623</v>
      </c>
      <c r="K965" s="290" t="s">
        <v>4623</v>
      </c>
      <c r="L965" s="290" t="s">
        <v>4623</v>
      </c>
      <c r="M965" s="290" t="s">
        <v>4623</v>
      </c>
      <c r="N965" s="290" t="s">
        <v>4623</v>
      </c>
      <c r="O965" s="290" t="s">
        <v>5000</v>
      </c>
      <c r="P965" s="290" t="s">
        <v>999</v>
      </c>
      <c r="Q965" s="291" t="s">
        <v>4623</v>
      </c>
      <c r="R965" s="276"/>
      <c r="S965" s="277">
        <f>IF(OR(C965="",C965=T$4),NA(),MATCH($B965&amp;$C965,'Smelter Reference List'!$J:$J,0))</f>
        <v>308</v>
      </c>
      <c r="T965" s="278"/>
      <c r="U965" s="278"/>
      <c r="V965" s="278"/>
      <c r="W965" s="278"/>
    </row>
    <row r="966" spans="1:23" s="269" customFormat="1" ht="20.25">
      <c r="A966" s="267"/>
      <c r="B966" s="275" t="s">
        <v>2437</v>
      </c>
      <c r="C966" s="275" t="s">
        <v>4564</v>
      </c>
      <c r="D966" s="168" t="s">
        <v>6275</v>
      </c>
      <c r="E966" s="168" t="s">
        <v>2351</v>
      </c>
      <c r="F966" s="168" t="s">
        <v>2801</v>
      </c>
      <c r="G966" s="168" t="s">
        <v>3324</v>
      </c>
      <c r="H966" s="292" t="s">
        <v>4623</v>
      </c>
      <c r="I966" s="293" t="s">
        <v>4623</v>
      </c>
      <c r="J966" s="293" t="s">
        <v>4623</v>
      </c>
      <c r="K966" s="290" t="s">
        <v>4623</v>
      </c>
      <c r="L966" s="290" t="s">
        <v>4623</v>
      </c>
      <c r="M966" s="290" t="s">
        <v>4623</v>
      </c>
      <c r="N966" s="290" t="s">
        <v>4623</v>
      </c>
      <c r="O966" s="290" t="s">
        <v>4623</v>
      </c>
      <c r="P966" s="290" t="s">
        <v>999</v>
      </c>
      <c r="Q966" s="291" t="s">
        <v>4623</v>
      </c>
      <c r="R966" s="276"/>
      <c r="S966" s="277">
        <f>IF(OR(C966="",C966=T$4),NA(),MATCH($B966&amp;$C966,'Smelter Reference List'!$J:$J,0))</f>
        <v>309</v>
      </c>
      <c r="T966" s="278"/>
      <c r="U966" s="278"/>
      <c r="V966" s="278"/>
      <c r="W966" s="278"/>
    </row>
    <row r="967" spans="1:23" s="269" customFormat="1" ht="20.25">
      <c r="A967" s="267"/>
      <c r="B967" s="275" t="s">
        <v>2437</v>
      </c>
      <c r="C967" s="275" t="s">
        <v>4390</v>
      </c>
      <c r="D967" s="168" t="s">
        <v>6276</v>
      </c>
      <c r="E967" s="168" t="s">
        <v>2351</v>
      </c>
      <c r="F967" s="168" t="s">
        <v>2802</v>
      </c>
      <c r="G967" s="168" t="s">
        <v>3324</v>
      </c>
      <c r="H967" s="292" t="s">
        <v>4623</v>
      </c>
      <c r="I967" s="293" t="s">
        <v>4623</v>
      </c>
      <c r="J967" s="293" t="s">
        <v>4623</v>
      </c>
      <c r="K967" s="290" t="s">
        <v>4623</v>
      </c>
      <c r="L967" s="290" t="s">
        <v>4623</v>
      </c>
      <c r="M967" s="290" t="s">
        <v>4623</v>
      </c>
      <c r="N967" s="290" t="s">
        <v>4623</v>
      </c>
      <c r="O967" s="290" t="s">
        <v>4623</v>
      </c>
      <c r="P967" s="290" t="s">
        <v>999</v>
      </c>
      <c r="Q967" s="291" t="s">
        <v>4623</v>
      </c>
      <c r="R967" s="276"/>
      <c r="S967" s="277">
        <f>IF(OR(C967="",C967=T$4),NA(),MATCH($B967&amp;$C967,'Smelter Reference List'!$J:$J,0))</f>
        <v>310</v>
      </c>
      <c r="T967" s="278"/>
      <c r="U967" s="278"/>
      <c r="V967" s="278"/>
      <c r="W967" s="278"/>
    </row>
    <row r="968" spans="1:23" s="269" customFormat="1" ht="20.25">
      <c r="A968" s="267"/>
      <c r="B968" s="275" t="s">
        <v>2437</v>
      </c>
      <c r="C968" s="275" t="s">
        <v>1612</v>
      </c>
      <c r="D968" s="168" t="s">
        <v>6277</v>
      </c>
      <c r="E968" s="168" t="s">
        <v>2351</v>
      </c>
      <c r="F968" s="168" t="s">
        <v>1463</v>
      </c>
      <c r="G968" s="168" t="s">
        <v>3324</v>
      </c>
      <c r="H968" s="292" t="s">
        <v>4623</v>
      </c>
      <c r="I968" s="293" t="s">
        <v>4623</v>
      </c>
      <c r="J968" s="293" t="s">
        <v>4623</v>
      </c>
      <c r="K968" s="290" t="s">
        <v>4623</v>
      </c>
      <c r="L968" s="290" t="s">
        <v>4623</v>
      </c>
      <c r="M968" s="290" t="s">
        <v>4623</v>
      </c>
      <c r="N968" s="290" t="s">
        <v>4623</v>
      </c>
      <c r="O968" s="290" t="s">
        <v>4623</v>
      </c>
      <c r="P968" s="290" t="s">
        <v>999</v>
      </c>
      <c r="Q968" s="291" t="s">
        <v>4623</v>
      </c>
      <c r="R968" s="276"/>
      <c r="S968" s="277">
        <f>IF(OR(C968="",C968=T$4),NA(),MATCH($B968&amp;$C968,'Smelter Reference List'!$J:$J,0))</f>
        <v>311</v>
      </c>
      <c r="T968" s="278"/>
      <c r="U968" s="278"/>
      <c r="V968" s="278"/>
      <c r="W968" s="278"/>
    </row>
    <row r="969" spans="1:23" s="269" customFormat="1" ht="20.25">
      <c r="A969" s="267"/>
      <c r="B969" s="275" t="s">
        <v>2437</v>
      </c>
      <c r="C969" s="275" t="s">
        <v>1613</v>
      </c>
      <c r="D969" s="168" t="s">
        <v>5517</v>
      </c>
      <c r="E969" s="168" t="s">
        <v>2351</v>
      </c>
      <c r="F969" s="168" t="s">
        <v>1464</v>
      </c>
      <c r="G969" s="168" t="s">
        <v>3324</v>
      </c>
      <c r="H969" s="292" t="s">
        <v>4623</v>
      </c>
      <c r="I969" s="293" t="s">
        <v>4623</v>
      </c>
      <c r="J969" s="293" t="s">
        <v>4623</v>
      </c>
      <c r="K969" s="290" t="s">
        <v>4623</v>
      </c>
      <c r="L969" s="290" t="s">
        <v>4623</v>
      </c>
      <c r="M969" s="290" t="s">
        <v>4623</v>
      </c>
      <c r="N969" s="290" t="s">
        <v>4623</v>
      </c>
      <c r="O969" s="290" t="s">
        <v>4623</v>
      </c>
      <c r="P969" s="290" t="s">
        <v>999</v>
      </c>
      <c r="Q969" s="291" t="s">
        <v>4623</v>
      </c>
      <c r="R969" s="276"/>
      <c r="S969" s="277">
        <f>IF(OR(C969="",C969=T$4),NA(),MATCH($B969&amp;$C969,'Smelter Reference List'!$J:$J,0))</f>
        <v>312</v>
      </c>
      <c r="T969" s="278"/>
      <c r="U969" s="278"/>
      <c r="V969" s="278"/>
      <c r="W969" s="278"/>
    </row>
    <row r="970" spans="1:23" s="269" customFormat="1" ht="20.25">
      <c r="A970" s="267"/>
      <c r="B970" s="275" t="s">
        <v>2437</v>
      </c>
      <c r="C970" s="275" t="s">
        <v>2844</v>
      </c>
      <c r="D970" s="168" t="s">
        <v>6278</v>
      </c>
      <c r="E970" s="168" t="s">
        <v>2351</v>
      </c>
      <c r="F970" s="168" t="s">
        <v>2845</v>
      </c>
      <c r="G970" s="168" t="s">
        <v>3324</v>
      </c>
      <c r="H970" s="292" t="s">
        <v>4623</v>
      </c>
      <c r="I970" s="293" t="s">
        <v>4623</v>
      </c>
      <c r="J970" s="293" t="s">
        <v>4623</v>
      </c>
      <c r="K970" s="290" t="s">
        <v>4623</v>
      </c>
      <c r="L970" s="290" t="s">
        <v>4623</v>
      </c>
      <c r="M970" s="290" t="s">
        <v>4623</v>
      </c>
      <c r="N970" s="290" t="s">
        <v>4623</v>
      </c>
      <c r="O970" s="290" t="s">
        <v>4623</v>
      </c>
      <c r="P970" s="290" t="s">
        <v>999</v>
      </c>
      <c r="Q970" s="291" t="s">
        <v>4623</v>
      </c>
      <c r="R970" s="276"/>
      <c r="S970" s="277">
        <f>IF(OR(C970="",C970=T$4),NA(),MATCH($B970&amp;$C970,'Smelter Reference List'!$J:$J,0))</f>
        <v>313</v>
      </c>
      <c r="T970" s="278"/>
      <c r="U970" s="278"/>
      <c r="V970" s="278"/>
      <c r="W970" s="278"/>
    </row>
    <row r="971" spans="1:23" s="269" customFormat="1" ht="20.25">
      <c r="A971" s="267"/>
      <c r="B971" s="275" t="s">
        <v>2437</v>
      </c>
      <c r="C971" s="275" t="s">
        <v>1897</v>
      </c>
      <c r="D971" s="168" t="s">
        <v>3380</v>
      </c>
      <c r="E971" s="168" t="s">
        <v>2362</v>
      </c>
      <c r="F971" s="168" t="s">
        <v>2872</v>
      </c>
      <c r="G971" s="168" t="s">
        <v>3324</v>
      </c>
      <c r="H971" s="292" t="s">
        <v>6279</v>
      </c>
      <c r="I971" s="293" t="s">
        <v>3376</v>
      </c>
      <c r="J971" s="293" t="s">
        <v>3377</v>
      </c>
      <c r="K971" s="290" t="s">
        <v>6280</v>
      </c>
      <c r="L971" s="290" t="s">
        <v>6281</v>
      </c>
      <c r="M971" s="290" t="s">
        <v>4623</v>
      </c>
      <c r="N971" s="290" t="s">
        <v>4628</v>
      </c>
      <c r="O971" s="290" t="s">
        <v>4628</v>
      </c>
      <c r="P971" s="290" t="s">
        <v>999</v>
      </c>
      <c r="Q971" s="291" t="s">
        <v>4623</v>
      </c>
      <c r="R971" s="276"/>
      <c r="S971" s="277">
        <f>IF(OR(C971="",C971=T$4),NA(),MATCH($B971&amp;$C971,'Smelter Reference List'!$J:$J,0))</f>
        <v>314</v>
      </c>
      <c r="T971" s="278"/>
      <c r="U971" s="278"/>
      <c r="V971" s="278"/>
      <c r="W971" s="278"/>
    </row>
    <row r="972" spans="1:23" s="269" customFormat="1" ht="20.25">
      <c r="A972" s="267"/>
      <c r="B972" s="275" t="s">
        <v>2437</v>
      </c>
      <c r="C972" s="275" t="s">
        <v>3755</v>
      </c>
      <c r="D972" s="168" t="s">
        <v>6282</v>
      </c>
      <c r="E972" s="168" t="s">
        <v>1874</v>
      </c>
      <c r="F972" s="168" t="s">
        <v>3756</v>
      </c>
      <c r="G972" s="168" t="s">
        <v>3324</v>
      </c>
      <c r="H972" s="292" t="s">
        <v>4623</v>
      </c>
      <c r="I972" s="293" t="s">
        <v>4623</v>
      </c>
      <c r="J972" s="293" t="s">
        <v>4623</v>
      </c>
      <c r="K972" s="290" t="s">
        <v>4623</v>
      </c>
      <c r="L972" s="290" t="s">
        <v>4623</v>
      </c>
      <c r="M972" s="290" t="s">
        <v>4623</v>
      </c>
      <c r="N972" s="290" t="s">
        <v>4623</v>
      </c>
      <c r="O972" s="290" t="s">
        <v>4623</v>
      </c>
      <c r="P972" s="290" t="s">
        <v>999</v>
      </c>
      <c r="Q972" s="291" t="s">
        <v>4623</v>
      </c>
      <c r="R972" s="276"/>
      <c r="S972" s="277">
        <f>IF(OR(C972="",C972=T$4),NA(),MATCH($B972&amp;$C972,'Smelter Reference List'!$J:$J,0))</f>
        <v>316</v>
      </c>
      <c r="T972" s="278"/>
      <c r="U972" s="278"/>
      <c r="V972" s="278"/>
      <c r="W972" s="278"/>
    </row>
    <row r="973" spans="1:23" s="269" customFormat="1" ht="20.25">
      <c r="A973" s="267"/>
      <c r="B973" s="275" t="s">
        <v>2437</v>
      </c>
      <c r="C973" s="275" t="s">
        <v>4522</v>
      </c>
      <c r="D973" s="168" t="s">
        <v>6283</v>
      </c>
      <c r="E973" s="168" t="s">
        <v>2318</v>
      </c>
      <c r="F973" s="168" t="s">
        <v>3773</v>
      </c>
      <c r="G973" s="168" t="s">
        <v>3324</v>
      </c>
      <c r="H973" s="292" t="s">
        <v>4623</v>
      </c>
      <c r="I973" s="293" t="s">
        <v>4623</v>
      </c>
      <c r="J973" s="293" t="s">
        <v>4623</v>
      </c>
      <c r="K973" s="290" t="s">
        <v>4623</v>
      </c>
      <c r="L973" s="290" t="s">
        <v>4623</v>
      </c>
      <c r="M973" s="290" t="s">
        <v>4623</v>
      </c>
      <c r="N973" s="290" t="s">
        <v>4623</v>
      </c>
      <c r="O973" s="290" t="s">
        <v>4623</v>
      </c>
      <c r="P973" s="290" t="s">
        <v>999</v>
      </c>
      <c r="Q973" s="291" t="s">
        <v>4623</v>
      </c>
      <c r="R973" s="276"/>
      <c r="S973" s="277">
        <f>IF(OR(C973="",C973=T$4),NA(),MATCH($B973&amp;$C973,'Smelter Reference List'!$J:$J,0))</f>
        <v>317</v>
      </c>
      <c r="T973" s="278"/>
      <c r="U973" s="278"/>
      <c r="V973" s="278"/>
      <c r="W973" s="278"/>
    </row>
    <row r="974" spans="1:23" s="269" customFormat="1" ht="20.25">
      <c r="A974" s="267"/>
      <c r="B974" s="275" t="s">
        <v>2437</v>
      </c>
      <c r="C974" s="275" t="s">
        <v>1614</v>
      </c>
      <c r="D974" s="168" t="s">
        <v>4866</v>
      </c>
      <c r="E974" s="168" t="s">
        <v>2282</v>
      </c>
      <c r="F974" s="168" t="s">
        <v>1465</v>
      </c>
      <c r="G974" s="168" t="s">
        <v>3324</v>
      </c>
      <c r="H974" s="292" t="s">
        <v>6284</v>
      </c>
      <c r="I974" s="293" t="s">
        <v>6285</v>
      </c>
      <c r="J974" s="293" t="s">
        <v>4868</v>
      </c>
      <c r="K974" s="290" t="s">
        <v>6286</v>
      </c>
      <c r="L974" s="290" t="s">
        <v>4623</v>
      </c>
      <c r="M974" s="290" t="s">
        <v>4623</v>
      </c>
      <c r="N974" s="290" t="s">
        <v>4623</v>
      </c>
      <c r="O974" s="290" t="s">
        <v>4623</v>
      </c>
      <c r="P974" s="290" t="s">
        <v>999</v>
      </c>
      <c r="Q974" s="291" t="s">
        <v>4623</v>
      </c>
      <c r="R974" s="276"/>
      <c r="S974" s="277">
        <f>IF(OR(C974="",C974=T$4),NA(),MATCH($B974&amp;$C974,'Smelter Reference List'!$J:$J,0))</f>
        <v>318</v>
      </c>
      <c r="T974" s="278"/>
      <c r="U974" s="278"/>
      <c r="V974" s="278"/>
      <c r="W974" s="278"/>
    </row>
    <row r="975" spans="1:23" s="269" customFormat="1" ht="20.25">
      <c r="A975" s="267"/>
      <c r="B975" s="275" t="s">
        <v>2437</v>
      </c>
      <c r="C975" s="275" t="s">
        <v>1466</v>
      </c>
      <c r="D975" s="168" t="s">
        <v>6287</v>
      </c>
      <c r="E975" s="168" t="s">
        <v>2283</v>
      </c>
      <c r="F975" s="168" t="s">
        <v>1467</v>
      </c>
      <c r="G975" s="168" t="s">
        <v>3324</v>
      </c>
      <c r="H975" s="292" t="s">
        <v>4623</v>
      </c>
      <c r="I975" s="293" t="s">
        <v>4623</v>
      </c>
      <c r="J975" s="293" t="s">
        <v>4623</v>
      </c>
      <c r="K975" s="290" t="s">
        <v>4623</v>
      </c>
      <c r="L975" s="290" t="s">
        <v>4623</v>
      </c>
      <c r="M975" s="290" t="s">
        <v>4623</v>
      </c>
      <c r="N975" s="290" t="s">
        <v>4623</v>
      </c>
      <c r="O975" s="290" t="s">
        <v>4638</v>
      </c>
      <c r="P975" s="290" t="s">
        <v>999</v>
      </c>
      <c r="Q975" s="291" t="s">
        <v>4623</v>
      </c>
      <c r="R975" s="276"/>
      <c r="S975" s="277">
        <f>IF(OR(C975="",C975=T$4),NA(),MATCH($B975&amp;$C975,'Smelter Reference List'!$J:$J,0))</f>
        <v>322</v>
      </c>
      <c r="T975" s="278"/>
      <c r="U975" s="278"/>
      <c r="V975" s="278"/>
      <c r="W975" s="278"/>
    </row>
    <row r="976" spans="1:23" s="269" customFormat="1" ht="20.25">
      <c r="A976" s="267"/>
      <c r="B976" s="275" t="s">
        <v>2437</v>
      </c>
      <c r="C976" s="275" t="s">
        <v>3677</v>
      </c>
      <c r="D976" s="168" t="s">
        <v>5436</v>
      </c>
      <c r="E976" s="168" t="s">
        <v>2308</v>
      </c>
      <c r="F976" s="168" t="s">
        <v>3678</v>
      </c>
      <c r="G976" s="168" t="s">
        <v>3324</v>
      </c>
      <c r="H976" s="292" t="s">
        <v>4623</v>
      </c>
      <c r="I976" s="293" t="s">
        <v>4623</v>
      </c>
      <c r="J976" s="293" t="s">
        <v>4623</v>
      </c>
      <c r="K976" s="290" t="s">
        <v>4623</v>
      </c>
      <c r="L976" s="290" t="s">
        <v>4623</v>
      </c>
      <c r="M976" s="290" t="s">
        <v>4623</v>
      </c>
      <c r="N976" s="290" t="s">
        <v>4623</v>
      </c>
      <c r="O976" s="290" t="s">
        <v>4657</v>
      </c>
      <c r="P976" s="290" t="s">
        <v>999</v>
      </c>
      <c r="Q976" s="291" t="s">
        <v>4623</v>
      </c>
      <c r="R976" s="276"/>
      <c r="S976" s="277">
        <f>IF(OR(C976="",C976=T$4),NA(),MATCH($B976&amp;$C976,'Smelter Reference List'!$J:$J,0))</f>
        <v>323</v>
      </c>
      <c r="T976" s="278"/>
      <c r="U976" s="278"/>
      <c r="V976" s="278"/>
      <c r="W976" s="278"/>
    </row>
    <row r="977" spans="1:23" s="269" customFormat="1" ht="20.25">
      <c r="A977" s="267"/>
      <c r="B977" s="275" t="s">
        <v>2437</v>
      </c>
      <c r="C977" s="275" t="s">
        <v>1567</v>
      </c>
      <c r="D977" s="168" t="s">
        <v>1567</v>
      </c>
      <c r="E977" s="168" t="s">
        <v>1816</v>
      </c>
      <c r="F977" s="168" t="s">
        <v>1468</v>
      </c>
      <c r="G977" s="168" t="s">
        <v>3324</v>
      </c>
      <c r="H977" s="292" t="s">
        <v>4623</v>
      </c>
      <c r="I977" s="293" t="s">
        <v>4623</v>
      </c>
      <c r="J977" s="293" t="s">
        <v>4623</v>
      </c>
      <c r="K977" s="290" t="s">
        <v>4623</v>
      </c>
      <c r="L977" s="290" t="s">
        <v>4623</v>
      </c>
      <c r="M977" s="290" t="s">
        <v>4623</v>
      </c>
      <c r="N977" s="290" t="s">
        <v>4623</v>
      </c>
      <c r="O977" s="290" t="s">
        <v>4623</v>
      </c>
      <c r="P977" s="290" t="s">
        <v>999</v>
      </c>
      <c r="Q977" s="291" t="s">
        <v>4623</v>
      </c>
      <c r="R977" s="276"/>
      <c r="S977" s="277">
        <f>IF(OR(C977="",C977=T$4),NA(),MATCH($B977&amp;$C977,'Smelter Reference List'!$J:$J,0))</f>
        <v>324</v>
      </c>
      <c r="T977" s="278"/>
      <c r="U977" s="278"/>
      <c r="V977" s="278"/>
      <c r="W977" s="278"/>
    </row>
    <row r="978" spans="1:23" s="269" customFormat="1" ht="20.25">
      <c r="A978" s="267"/>
      <c r="B978" s="275" t="s">
        <v>2437</v>
      </c>
      <c r="C978" s="275" t="s">
        <v>1898</v>
      </c>
      <c r="D978" s="168" t="s">
        <v>4683</v>
      </c>
      <c r="E978" s="168" t="s">
        <v>1825</v>
      </c>
      <c r="F978" s="168" t="s">
        <v>1479</v>
      </c>
      <c r="G978" s="168" t="s">
        <v>3324</v>
      </c>
      <c r="H978" s="292" t="s">
        <v>4623</v>
      </c>
      <c r="I978" s="293" t="s">
        <v>4623</v>
      </c>
      <c r="J978" s="293" t="s">
        <v>4623</v>
      </c>
      <c r="K978" s="290" t="s">
        <v>4623</v>
      </c>
      <c r="L978" s="290" t="s">
        <v>4623</v>
      </c>
      <c r="M978" s="290" t="s">
        <v>4623</v>
      </c>
      <c r="N978" s="290" t="s">
        <v>4623</v>
      </c>
      <c r="O978" s="290" t="s">
        <v>4623</v>
      </c>
      <c r="P978" s="290" t="s">
        <v>999</v>
      </c>
      <c r="Q978" s="291" t="s">
        <v>4623</v>
      </c>
      <c r="R978" s="276"/>
      <c r="S978" s="277">
        <f>IF(OR(C978="",C978=T$4),NA(),MATCH($B978&amp;$C978,'Smelter Reference List'!$J:$J,0))</f>
        <v>325</v>
      </c>
      <c r="T978" s="278"/>
      <c r="U978" s="278"/>
      <c r="V978" s="278"/>
      <c r="W978" s="278"/>
    </row>
    <row r="979" spans="1:23" s="269" customFormat="1" ht="20.25">
      <c r="A979" s="267"/>
      <c r="B979" s="275" t="s">
        <v>2437</v>
      </c>
      <c r="C979" s="275" t="s">
        <v>3705</v>
      </c>
      <c r="D979" s="168" t="s">
        <v>2065</v>
      </c>
      <c r="E979" s="168" t="s">
        <v>1812</v>
      </c>
      <c r="F979" s="168" t="s">
        <v>1477</v>
      </c>
      <c r="G979" s="168" t="s">
        <v>3324</v>
      </c>
      <c r="H979" s="292" t="s">
        <v>5794</v>
      </c>
      <c r="I979" s="293" t="s">
        <v>6288</v>
      </c>
      <c r="J979" s="293" t="s">
        <v>4623</v>
      </c>
      <c r="K979" s="290" t="s">
        <v>6289</v>
      </c>
      <c r="L979" s="290" t="s">
        <v>6290</v>
      </c>
      <c r="M979" s="290" t="s">
        <v>4623</v>
      </c>
      <c r="N979" s="290" t="s">
        <v>4623</v>
      </c>
      <c r="O979" s="290" t="s">
        <v>4623</v>
      </c>
      <c r="P979" s="290" t="s">
        <v>999</v>
      </c>
      <c r="Q979" s="291" t="s">
        <v>4623</v>
      </c>
      <c r="R979" s="276"/>
      <c r="S979" s="277">
        <f>IF(OR(C979="",C979=T$4),NA(),MATCH($B979&amp;$C979,'Smelter Reference List'!$J:$J,0))</f>
        <v>326</v>
      </c>
      <c r="T979" s="278"/>
      <c r="U979" s="278"/>
      <c r="V979" s="278"/>
      <c r="W979" s="278"/>
    </row>
    <row r="980" spans="1:23" s="269" customFormat="1" ht="20.25">
      <c r="A980" s="267"/>
      <c r="B980" s="275" t="s">
        <v>2437</v>
      </c>
      <c r="C980" s="275" t="s">
        <v>2897</v>
      </c>
      <c r="D980" s="168" t="s">
        <v>6291</v>
      </c>
      <c r="E980" s="168" t="s">
        <v>2294</v>
      </c>
      <c r="F980" s="168" t="s">
        <v>1472</v>
      </c>
      <c r="G980" s="168" t="s">
        <v>3324</v>
      </c>
      <c r="H980" s="292" t="s">
        <v>4623</v>
      </c>
      <c r="I980" s="293" t="s">
        <v>4623</v>
      </c>
      <c r="J980" s="293" t="s">
        <v>4623</v>
      </c>
      <c r="K980" s="290" t="s">
        <v>4623</v>
      </c>
      <c r="L980" s="290" t="s">
        <v>4623</v>
      </c>
      <c r="M980" s="290" t="s">
        <v>4623</v>
      </c>
      <c r="N980" s="290" t="s">
        <v>4623</v>
      </c>
      <c r="O980" s="290" t="s">
        <v>4623</v>
      </c>
      <c r="P980" s="290" t="s">
        <v>999</v>
      </c>
      <c r="Q980" s="291" t="s">
        <v>4623</v>
      </c>
      <c r="R980" s="276"/>
      <c r="S980" s="277">
        <f>IF(OR(C980="",C980=T$4),NA(),MATCH($B980&amp;$C980,'Smelter Reference List'!$J:$J,0))</f>
        <v>328</v>
      </c>
      <c r="T980" s="278"/>
      <c r="U980" s="278"/>
      <c r="V980" s="278"/>
      <c r="W980" s="278"/>
    </row>
    <row r="981" spans="1:23" s="269" customFormat="1" ht="20.25">
      <c r="A981" s="267"/>
      <c r="B981" s="275" t="s">
        <v>2437</v>
      </c>
      <c r="C981" s="275" t="s">
        <v>4400</v>
      </c>
      <c r="D981" s="168" t="s">
        <v>6292</v>
      </c>
      <c r="E981" s="168" t="s">
        <v>2294</v>
      </c>
      <c r="F981" s="168" t="s">
        <v>1469</v>
      </c>
      <c r="G981" s="168" t="s">
        <v>3324</v>
      </c>
      <c r="H981" s="292" t="s">
        <v>6293</v>
      </c>
      <c r="I981" s="293" t="s">
        <v>3685</v>
      </c>
      <c r="J981" s="293" t="s">
        <v>3364</v>
      </c>
      <c r="K981" s="290" t="s">
        <v>6294</v>
      </c>
      <c r="L981" s="290" t="s">
        <v>5022</v>
      </c>
      <c r="M981" s="290" t="s">
        <v>4623</v>
      </c>
      <c r="N981" s="290" t="s">
        <v>4623</v>
      </c>
      <c r="O981" s="290" t="s">
        <v>6295</v>
      </c>
      <c r="P981" s="290" t="s">
        <v>999</v>
      </c>
      <c r="Q981" s="291" t="s">
        <v>4623</v>
      </c>
      <c r="R981" s="276"/>
      <c r="S981" s="277">
        <f>IF(OR(C981="",C981=T$4),NA(),MATCH($B981&amp;$C981,'Smelter Reference List'!$J:$J,0))</f>
        <v>329</v>
      </c>
      <c r="T981" s="278"/>
      <c r="U981" s="278"/>
      <c r="V981" s="278"/>
      <c r="W981" s="278"/>
    </row>
    <row r="982" spans="1:23" s="269" customFormat="1" ht="20.25">
      <c r="A982" s="267"/>
      <c r="B982" s="275" t="s">
        <v>2437</v>
      </c>
      <c r="C982" s="275" t="s">
        <v>3735</v>
      </c>
      <c r="D982" s="168" t="s">
        <v>3735</v>
      </c>
      <c r="E982" s="168" t="s">
        <v>2294</v>
      </c>
      <c r="F982" s="168" t="s">
        <v>3736</v>
      </c>
      <c r="G982" s="168" t="s">
        <v>3324</v>
      </c>
      <c r="H982" s="292" t="s">
        <v>5025</v>
      </c>
      <c r="I982" s="293" t="s">
        <v>3364</v>
      </c>
      <c r="J982" s="293" t="s">
        <v>6296</v>
      </c>
      <c r="K982" s="290" t="s">
        <v>4623</v>
      </c>
      <c r="L982" s="290" t="s">
        <v>6297</v>
      </c>
      <c r="M982" s="290" t="s">
        <v>6298</v>
      </c>
      <c r="N982" s="290" t="s">
        <v>6299</v>
      </c>
      <c r="O982" s="290" t="s">
        <v>4667</v>
      </c>
      <c r="P982" s="290" t="s">
        <v>999</v>
      </c>
      <c r="Q982" s="291" t="s">
        <v>4623</v>
      </c>
      <c r="R982" s="276"/>
      <c r="S982" s="277">
        <f>IF(OR(C982="",C982=T$4),NA(),MATCH($B982&amp;$C982,'Smelter Reference List'!$J:$J,0))</f>
        <v>330</v>
      </c>
      <c r="T982" s="278"/>
      <c r="U982" s="278"/>
      <c r="V982" s="278"/>
      <c r="W982" s="278"/>
    </row>
    <row r="983" spans="1:23" s="269" customFormat="1" ht="20.25">
      <c r="A983" s="267"/>
      <c r="B983" s="275" t="s">
        <v>2437</v>
      </c>
      <c r="C983" s="275" t="s">
        <v>1615</v>
      </c>
      <c r="D983" s="168" t="s">
        <v>1615</v>
      </c>
      <c r="E983" s="168" t="s">
        <v>2282</v>
      </c>
      <c r="F983" s="168" t="s">
        <v>1470</v>
      </c>
      <c r="G983" s="168" t="s">
        <v>3324</v>
      </c>
      <c r="H983" s="292" t="s">
        <v>6300</v>
      </c>
      <c r="I983" s="293" t="s">
        <v>4623</v>
      </c>
      <c r="J983" s="293" t="s">
        <v>4623</v>
      </c>
      <c r="K983" s="290" t="s">
        <v>6301</v>
      </c>
      <c r="L983" s="290" t="s">
        <v>6302</v>
      </c>
      <c r="M983" s="290" t="s">
        <v>4623</v>
      </c>
      <c r="N983" s="290" t="s">
        <v>4623</v>
      </c>
      <c r="O983" s="290" t="s">
        <v>4623</v>
      </c>
      <c r="P983" s="290" t="s">
        <v>999</v>
      </c>
      <c r="Q983" s="291" t="s">
        <v>4623</v>
      </c>
      <c r="R983" s="276"/>
      <c r="S983" s="277">
        <f>IF(OR(C983="",C983=T$4),NA(),MATCH($B983&amp;$C983,'Smelter Reference List'!$J:$J,0))</f>
        <v>331</v>
      </c>
      <c r="T983" s="278"/>
      <c r="U983" s="278"/>
      <c r="V983" s="278"/>
      <c r="W983" s="278"/>
    </row>
    <row r="984" spans="1:23" s="269" customFormat="1" ht="20.25">
      <c r="A984" s="267"/>
      <c r="B984" s="275" t="s">
        <v>2437</v>
      </c>
      <c r="C984" s="275" t="s">
        <v>4401</v>
      </c>
      <c r="D984" s="168" t="s">
        <v>6303</v>
      </c>
      <c r="E984" s="168" t="s">
        <v>2294</v>
      </c>
      <c r="F984" s="168" t="s">
        <v>1471</v>
      </c>
      <c r="G984" s="168" t="s">
        <v>3324</v>
      </c>
      <c r="H984" s="292" t="s">
        <v>6304</v>
      </c>
      <c r="I984" s="293" t="s">
        <v>3687</v>
      </c>
      <c r="J984" s="293" t="s">
        <v>3408</v>
      </c>
      <c r="K984" s="290" t="s">
        <v>6305</v>
      </c>
      <c r="L984" s="290" t="s">
        <v>6306</v>
      </c>
      <c r="M984" s="290" t="s">
        <v>4623</v>
      </c>
      <c r="N984" s="290" t="s">
        <v>4623</v>
      </c>
      <c r="O984" s="290" t="s">
        <v>4623</v>
      </c>
      <c r="P984" s="290" t="s">
        <v>999</v>
      </c>
      <c r="Q984" s="291" t="s">
        <v>4623</v>
      </c>
      <c r="R984" s="276"/>
      <c r="S984" s="277">
        <f>IF(OR(C984="",C984=T$4),NA(),MATCH($B984&amp;$C984,'Smelter Reference List'!$J:$J,0))</f>
        <v>336</v>
      </c>
      <c r="T984" s="278"/>
      <c r="U984" s="278"/>
      <c r="V984" s="278"/>
      <c r="W984" s="278"/>
    </row>
    <row r="985" spans="1:23" s="269" customFormat="1" ht="20.25">
      <c r="A985" s="267"/>
      <c r="B985" s="275" t="s">
        <v>2437</v>
      </c>
      <c r="C985" s="275" t="s">
        <v>4567</v>
      </c>
      <c r="D985" s="168" t="s">
        <v>4567</v>
      </c>
      <c r="E985" s="168" t="s">
        <v>2294</v>
      </c>
      <c r="F985" s="168" t="s">
        <v>3707</v>
      </c>
      <c r="G985" s="168" t="s">
        <v>3324</v>
      </c>
      <c r="H985" s="292" t="s">
        <v>4623</v>
      </c>
      <c r="I985" s="293" t="s">
        <v>4623</v>
      </c>
      <c r="J985" s="293" t="s">
        <v>4623</v>
      </c>
      <c r="K985" s="290" t="s">
        <v>4623</v>
      </c>
      <c r="L985" s="290" t="s">
        <v>4623</v>
      </c>
      <c r="M985" s="290" t="s">
        <v>4623</v>
      </c>
      <c r="N985" s="290" t="s">
        <v>4623</v>
      </c>
      <c r="O985" s="290" t="s">
        <v>4623</v>
      </c>
      <c r="P985" s="290" t="s">
        <v>999</v>
      </c>
      <c r="Q985" s="291" t="s">
        <v>4623</v>
      </c>
      <c r="R985" s="276"/>
      <c r="S985" s="277">
        <f>IF(OR(C985="",C985=T$4),NA(),MATCH($B985&amp;$C985,'Smelter Reference List'!$J:$J,0))</f>
        <v>342</v>
      </c>
      <c r="T985" s="278"/>
      <c r="U985" s="278"/>
      <c r="V985" s="278"/>
      <c r="W985" s="278"/>
    </row>
    <row r="986" spans="1:23" s="269" customFormat="1" ht="20.25">
      <c r="A986" s="267"/>
      <c r="B986" s="275" t="s">
        <v>2437</v>
      </c>
      <c r="C986" s="275" t="s">
        <v>73</v>
      </c>
      <c r="D986" s="168" t="s">
        <v>5532</v>
      </c>
      <c r="E986" s="168" t="s">
        <v>2351</v>
      </c>
      <c r="F986" s="168" t="s">
        <v>1485</v>
      </c>
      <c r="G986" s="168" t="s">
        <v>3324</v>
      </c>
      <c r="H986" s="292" t="s">
        <v>4623</v>
      </c>
      <c r="I986" s="293" t="s">
        <v>4623</v>
      </c>
      <c r="J986" s="293" t="s">
        <v>4623</v>
      </c>
      <c r="K986" s="290" t="s">
        <v>4623</v>
      </c>
      <c r="L986" s="290" t="s">
        <v>4623</v>
      </c>
      <c r="M986" s="290" t="s">
        <v>4623</v>
      </c>
      <c r="N986" s="290" t="s">
        <v>4623</v>
      </c>
      <c r="O986" s="290" t="s">
        <v>4792</v>
      </c>
      <c r="P986" s="290" t="s">
        <v>999</v>
      </c>
      <c r="Q986" s="291" t="s">
        <v>4623</v>
      </c>
      <c r="R986" s="276"/>
      <c r="S986" s="277">
        <f>IF(OR(C986="",C986=T$4),NA(),MATCH($B986&amp;$C986,'Smelter Reference List'!$J:$J,0))</f>
        <v>345</v>
      </c>
      <c r="T986" s="278"/>
      <c r="U986" s="278"/>
      <c r="V986" s="278"/>
      <c r="W986" s="278"/>
    </row>
    <row r="987" spans="1:23" s="269" customFormat="1" ht="20.25">
      <c r="A987" s="267"/>
      <c r="B987" s="275" t="s">
        <v>2437</v>
      </c>
      <c r="C987" s="275" t="s">
        <v>3726</v>
      </c>
      <c r="D987" s="168" t="s">
        <v>5580</v>
      </c>
      <c r="E987" s="168" t="s">
        <v>2351</v>
      </c>
      <c r="F987" s="168" t="s">
        <v>1523</v>
      </c>
      <c r="G987" s="168" t="s">
        <v>3324</v>
      </c>
      <c r="H987" s="292" t="s">
        <v>6307</v>
      </c>
      <c r="I987" s="293" t="s">
        <v>4623</v>
      </c>
      <c r="J987" s="293" t="s">
        <v>5535</v>
      </c>
      <c r="K987" s="290" t="s">
        <v>6308</v>
      </c>
      <c r="L987" s="290" t="s">
        <v>5536</v>
      </c>
      <c r="M987" s="290" t="s">
        <v>6309</v>
      </c>
      <c r="N987" s="290" t="s">
        <v>4623</v>
      </c>
      <c r="O987" s="290" t="s">
        <v>4623</v>
      </c>
      <c r="P987" s="290" t="s">
        <v>999</v>
      </c>
      <c r="Q987" s="291" t="s">
        <v>4623</v>
      </c>
      <c r="R987" s="276"/>
      <c r="S987" s="277">
        <f>IF(OR(C987="",C987=T$4),NA(),MATCH($B987&amp;$C987,'Smelter Reference List'!$J:$J,0))</f>
        <v>346</v>
      </c>
      <c r="T987" s="278"/>
      <c r="U987" s="278"/>
      <c r="V987" s="278"/>
      <c r="W987" s="278"/>
    </row>
    <row r="988" spans="1:23" s="269" customFormat="1" ht="20.25">
      <c r="A988" s="267"/>
      <c r="B988" s="275" t="s">
        <v>2437</v>
      </c>
      <c r="C988" s="275" t="s">
        <v>3690</v>
      </c>
      <c r="D988" s="168" t="s">
        <v>3690</v>
      </c>
      <c r="E988" s="168" t="s">
        <v>2294</v>
      </c>
      <c r="F988" s="168" t="s">
        <v>1473</v>
      </c>
      <c r="G988" s="168" t="s">
        <v>3324</v>
      </c>
      <c r="H988" s="292" t="s">
        <v>3390</v>
      </c>
      <c r="I988" s="293" t="s">
        <v>4623</v>
      </c>
      <c r="J988" s="293" t="s">
        <v>4623</v>
      </c>
      <c r="K988" s="290" t="s">
        <v>4623</v>
      </c>
      <c r="L988" s="290" t="s">
        <v>4623</v>
      </c>
      <c r="M988" s="290" t="s">
        <v>4623</v>
      </c>
      <c r="N988" s="290" t="s">
        <v>4623</v>
      </c>
      <c r="O988" s="290" t="s">
        <v>4623</v>
      </c>
      <c r="P988" s="290" t="s">
        <v>999</v>
      </c>
      <c r="Q988" s="291" t="s">
        <v>4623</v>
      </c>
      <c r="R988" s="276"/>
      <c r="S988" s="277">
        <f>IF(OR(C988="",C988=T$4),NA(),MATCH($B988&amp;$C988,'Smelter Reference List'!$J:$J,0))</f>
        <v>347</v>
      </c>
      <c r="T988" s="278"/>
      <c r="U988" s="278"/>
      <c r="V988" s="278"/>
      <c r="W988" s="278"/>
    </row>
    <row r="989" spans="1:23" s="269" customFormat="1" ht="20.25">
      <c r="A989" s="267"/>
      <c r="B989" s="275" t="s">
        <v>2437</v>
      </c>
      <c r="C989" s="275" t="s">
        <v>4434</v>
      </c>
      <c r="D989" s="168" t="s">
        <v>6310</v>
      </c>
      <c r="E989" s="168" t="s">
        <v>2283</v>
      </c>
      <c r="F989" s="168" t="s">
        <v>221</v>
      </c>
      <c r="G989" s="168" t="s">
        <v>3324</v>
      </c>
      <c r="H989" s="292" t="s">
        <v>6311</v>
      </c>
      <c r="I989" s="293" t="s">
        <v>4623</v>
      </c>
      <c r="J989" s="293" t="s">
        <v>4623</v>
      </c>
      <c r="K989" s="290" t="s">
        <v>4623</v>
      </c>
      <c r="L989" s="290" t="s">
        <v>6312</v>
      </c>
      <c r="M989" s="290" t="s">
        <v>6313</v>
      </c>
      <c r="N989" s="290" t="s">
        <v>4623</v>
      </c>
      <c r="O989" s="290" t="s">
        <v>4623</v>
      </c>
      <c r="P989" s="290" t="s">
        <v>999</v>
      </c>
      <c r="Q989" s="291" t="s">
        <v>5703</v>
      </c>
      <c r="R989" s="276"/>
      <c r="S989" s="277">
        <f>IF(OR(C989="",C989=T$4),NA(),MATCH($B989&amp;$C989,'Smelter Reference List'!$J:$J,0))</f>
        <v>350</v>
      </c>
      <c r="T989" s="278"/>
      <c r="U989" s="278"/>
      <c r="V989" s="278"/>
      <c r="W989" s="278"/>
    </row>
    <row r="990" spans="1:23" s="269" customFormat="1" ht="20.25">
      <c r="A990" s="267"/>
      <c r="B990" s="275" t="s">
        <v>2437</v>
      </c>
      <c r="C990" s="275" t="s">
        <v>1577</v>
      </c>
      <c r="D990" s="168" t="s">
        <v>6314</v>
      </c>
      <c r="E990" s="168" t="s">
        <v>2351</v>
      </c>
      <c r="F990" s="168" t="s">
        <v>1475</v>
      </c>
      <c r="G990" s="168" t="s">
        <v>3324</v>
      </c>
      <c r="H990" s="292" t="s">
        <v>4623</v>
      </c>
      <c r="I990" s="293" t="s">
        <v>4623</v>
      </c>
      <c r="J990" s="293" t="s">
        <v>4623</v>
      </c>
      <c r="K990" s="290" t="s">
        <v>4623</v>
      </c>
      <c r="L990" s="290" t="s">
        <v>4623</v>
      </c>
      <c r="M990" s="290" t="s">
        <v>4623</v>
      </c>
      <c r="N990" s="290" t="s">
        <v>4623</v>
      </c>
      <c r="O990" s="290" t="s">
        <v>4623</v>
      </c>
      <c r="P990" s="290" t="s">
        <v>999</v>
      </c>
      <c r="Q990" s="291" t="s">
        <v>4623</v>
      </c>
      <c r="R990" s="276"/>
      <c r="S990" s="277">
        <f>IF(OR(C990="",C990=T$4),NA(),MATCH($B990&amp;$C990,'Smelter Reference List'!$J:$J,0))</f>
        <v>351</v>
      </c>
      <c r="T990" s="278"/>
      <c r="U990" s="278"/>
      <c r="V990" s="278"/>
      <c r="W990" s="278"/>
    </row>
    <row r="991" spans="1:23" s="269" customFormat="1" ht="20.25">
      <c r="A991" s="267"/>
      <c r="B991" s="275" t="s">
        <v>2437</v>
      </c>
      <c r="C991" s="275" t="s">
        <v>2697</v>
      </c>
      <c r="D991" s="168" t="s">
        <v>6315</v>
      </c>
      <c r="E991" s="168" t="s">
        <v>2283</v>
      </c>
      <c r="F991" s="168" t="s">
        <v>2698</v>
      </c>
      <c r="G991" s="168" t="s">
        <v>3324</v>
      </c>
      <c r="H991" s="292" t="s">
        <v>4623</v>
      </c>
      <c r="I991" s="293" t="s">
        <v>4623</v>
      </c>
      <c r="J991" s="293" t="s">
        <v>4623</v>
      </c>
      <c r="K991" s="290" t="s">
        <v>4623</v>
      </c>
      <c r="L991" s="290" t="s">
        <v>4623</v>
      </c>
      <c r="M991" s="290" t="s">
        <v>4623</v>
      </c>
      <c r="N991" s="290" t="s">
        <v>4623</v>
      </c>
      <c r="O991" s="290" t="s">
        <v>6316</v>
      </c>
      <c r="P991" s="290" t="s">
        <v>999</v>
      </c>
      <c r="Q991" s="291" t="s">
        <v>4623</v>
      </c>
      <c r="R991" s="276"/>
      <c r="S991" s="277">
        <f>IF(OR(C991="",C991=T$4),NA(),MATCH($B991&amp;$C991,'Smelter Reference List'!$J:$J,0))</f>
        <v>352</v>
      </c>
      <c r="T991" s="278"/>
      <c r="U991" s="278"/>
      <c r="V991" s="278"/>
      <c r="W991" s="278"/>
    </row>
    <row r="992" spans="1:23" s="269" customFormat="1" ht="20.25">
      <c r="A992" s="267"/>
      <c r="B992" s="275" t="s">
        <v>2437</v>
      </c>
      <c r="C992" s="275" t="s">
        <v>4409</v>
      </c>
      <c r="D992" s="168" t="s">
        <v>4409</v>
      </c>
      <c r="E992" s="168" t="s">
        <v>1867</v>
      </c>
      <c r="F992" s="168" t="s">
        <v>3699</v>
      </c>
      <c r="G992" s="168" t="s">
        <v>3324</v>
      </c>
      <c r="H992" s="292" t="s">
        <v>6317</v>
      </c>
      <c r="I992" s="293" t="s">
        <v>6318</v>
      </c>
      <c r="J992" s="293" t="s">
        <v>4623</v>
      </c>
      <c r="K992" s="290" t="s">
        <v>4623</v>
      </c>
      <c r="L992" s="290" t="s">
        <v>999</v>
      </c>
      <c r="M992" s="290" t="s">
        <v>4628</v>
      </c>
      <c r="N992" s="290" t="s">
        <v>4812</v>
      </c>
      <c r="O992" s="290" t="s">
        <v>5997</v>
      </c>
      <c r="P992" s="290" t="s">
        <v>999</v>
      </c>
      <c r="Q992" s="291" t="s">
        <v>4623</v>
      </c>
      <c r="R992" s="276"/>
      <c r="S992" s="277">
        <f>IF(OR(C992="",C992=T$4),NA(),MATCH($B992&amp;$C992,'Smelter Reference List'!$J:$J,0))</f>
        <v>356</v>
      </c>
      <c r="T992" s="278"/>
      <c r="U992" s="278"/>
      <c r="V992" s="278"/>
      <c r="W992" s="278"/>
    </row>
    <row r="993" spans="1:23" s="269" customFormat="1" ht="20.25">
      <c r="A993" s="267"/>
      <c r="B993" s="275" t="s">
        <v>2437</v>
      </c>
      <c r="C993" s="275" t="s">
        <v>3770</v>
      </c>
      <c r="D993" s="168" t="s">
        <v>4855</v>
      </c>
      <c r="E993" s="168" t="s">
        <v>2271</v>
      </c>
      <c r="F993" s="168" t="s">
        <v>3771</v>
      </c>
      <c r="G993" s="168" t="s">
        <v>3324</v>
      </c>
      <c r="H993" s="292" t="s">
        <v>4623</v>
      </c>
      <c r="I993" s="293" t="s">
        <v>4623</v>
      </c>
      <c r="J993" s="293" t="s">
        <v>4623</v>
      </c>
      <c r="K993" s="290" t="s">
        <v>4623</v>
      </c>
      <c r="L993" s="290" t="s">
        <v>4623</v>
      </c>
      <c r="M993" s="290" t="s">
        <v>4623</v>
      </c>
      <c r="N993" s="290" t="s">
        <v>4623</v>
      </c>
      <c r="O993" s="290" t="s">
        <v>4623</v>
      </c>
      <c r="P993" s="290" t="s">
        <v>999</v>
      </c>
      <c r="Q993" s="291" t="s">
        <v>4623</v>
      </c>
      <c r="R993" s="276"/>
      <c r="S993" s="277">
        <f>IF(OR(C993="",C993=T$4),NA(),MATCH($B993&amp;$C993,'Smelter Reference List'!$J:$J,0))</f>
        <v>357</v>
      </c>
      <c r="T993" s="278"/>
      <c r="U993" s="278"/>
      <c r="V993" s="278"/>
      <c r="W993" s="278"/>
    </row>
    <row r="994" spans="1:23" s="269" customFormat="1" ht="20.25">
      <c r="A994" s="267"/>
      <c r="B994" s="275" t="s">
        <v>2437</v>
      </c>
      <c r="C994" s="275" t="s">
        <v>2064</v>
      </c>
      <c r="D994" s="168" t="s">
        <v>4856</v>
      </c>
      <c r="E994" s="168" t="s">
        <v>2283</v>
      </c>
      <c r="F994" s="168" t="s">
        <v>1476</v>
      </c>
      <c r="G994" s="168" t="s">
        <v>3324</v>
      </c>
      <c r="H994" s="292" t="s">
        <v>6319</v>
      </c>
      <c r="I994" s="293" t="s">
        <v>6320</v>
      </c>
      <c r="J994" s="293" t="s">
        <v>4623</v>
      </c>
      <c r="K994" s="290" t="s">
        <v>6321</v>
      </c>
      <c r="L994" s="290" t="s">
        <v>6322</v>
      </c>
      <c r="M994" s="290" t="s">
        <v>6323</v>
      </c>
      <c r="N994" s="290" t="s">
        <v>5538</v>
      </c>
      <c r="O994" s="290" t="s">
        <v>5538</v>
      </c>
      <c r="P994" s="290" t="s">
        <v>999</v>
      </c>
      <c r="Q994" s="291" t="s">
        <v>4623</v>
      </c>
      <c r="R994" s="276"/>
      <c r="S994" s="277">
        <f>IF(OR(C994="",C994=T$4),NA(),MATCH($B994&amp;$C994,'Smelter Reference List'!$J:$J,0))</f>
        <v>358</v>
      </c>
      <c r="T994" s="278"/>
      <c r="U994" s="278"/>
      <c r="V994" s="278"/>
      <c r="W994" s="278"/>
    </row>
    <row r="995" spans="1:23" s="269" customFormat="1" ht="20.25">
      <c r="A995" s="267"/>
      <c r="B995" s="275" t="s">
        <v>2437</v>
      </c>
      <c r="C995" s="275" t="s">
        <v>2484</v>
      </c>
      <c r="D995" s="168" t="s">
        <v>6324</v>
      </c>
      <c r="E995" s="168" t="s">
        <v>2362</v>
      </c>
      <c r="F995" s="168" t="s">
        <v>1478</v>
      </c>
      <c r="G995" s="168" t="s">
        <v>3324</v>
      </c>
      <c r="H995" s="292" t="s">
        <v>4623</v>
      </c>
      <c r="I995" s="293" t="s">
        <v>4623</v>
      </c>
      <c r="J995" s="293" t="s">
        <v>4623</v>
      </c>
      <c r="K995" s="290" t="s">
        <v>4623</v>
      </c>
      <c r="L995" s="290" t="s">
        <v>4623</v>
      </c>
      <c r="M995" s="290" t="s">
        <v>4623</v>
      </c>
      <c r="N995" s="290" t="s">
        <v>4623</v>
      </c>
      <c r="O995" s="290" t="s">
        <v>4623</v>
      </c>
      <c r="P995" s="290" t="s">
        <v>999</v>
      </c>
      <c r="Q995" s="291" t="s">
        <v>4623</v>
      </c>
      <c r="R995" s="276"/>
      <c r="S995" s="277">
        <f>IF(OR(C995="",C995=T$4),NA(),MATCH($B995&amp;$C995,'Smelter Reference List'!$J:$J,0))</f>
        <v>360</v>
      </c>
      <c r="T995" s="278"/>
      <c r="U995" s="278"/>
      <c r="V995" s="278"/>
      <c r="W995" s="278"/>
    </row>
    <row r="996" spans="1:23" s="269" customFormat="1" ht="20.25">
      <c r="A996" s="267"/>
      <c r="B996" s="275" t="s">
        <v>2437</v>
      </c>
      <c r="C996" s="275" t="s">
        <v>3759</v>
      </c>
      <c r="D996" s="168" t="s">
        <v>6325</v>
      </c>
      <c r="E996" s="168" t="s">
        <v>1874</v>
      </c>
      <c r="F996" s="168" t="s">
        <v>3760</v>
      </c>
      <c r="G996" s="168" t="s">
        <v>3324</v>
      </c>
      <c r="H996" s="292" t="s">
        <v>6326</v>
      </c>
      <c r="I996" s="293" t="s">
        <v>6327</v>
      </c>
      <c r="J996" s="293" t="s">
        <v>6328</v>
      </c>
      <c r="K996" s="290" t="s">
        <v>4623</v>
      </c>
      <c r="L996" s="290" t="s">
        <v>6329</v>
      </c>
      <c r="M996" s="290" t="s">
        <v>4623</v>
      </c>
      <c r="N996" s="290" t="s">
        <v>4623</v>
      </c>
      <c r="O996" s="290" t="s">
        <v>4623</v>
      </c>
      <c r="P996" s="290" t="s">
        <v>999</v>
      </c>
      <c r="Q996" s="291" t="s">
        <v>4623</v>
      </c>
      <c r="R996" s="276"/>
      <c r="S996" s="277">
        <f>IF(OR(C996="",C996=T$4),NA(),MATCH($B996&amp;$C996,'Smelter Reference List'!$J:$J,0))</f>
        <v>364</v>
      </c>
      <c r="T996" s="278"/>
      <c r="U996" s="278"/>
      <c r="V996" s="278"/>
      <c r="W996" s="278"/>
    </row>
    <row r="997" spans="1:23" s="269" customFormat="1" ht="20.25">
      <c r="A997" s="267"/>
      <c r="B997" s="275" t="s">
        <v>2437</v>
      </c>
      <c r="C997" s="275" t="s">
        <v>1480</v>
      </c>
      <c r="D997" s="168" t="s">
        <v>1480</v>
      </c>
      <c r="E997" s="168" t="s">
        <v>1851</v>
      </c>
      <c r="F997" s="168" t="s">
        <v>1481</v>
      </c>
      <c r="G997" s="168" t="s">
        <v>3324</v>
      </c>
      <c r="H997" s="292" t="s">
        <v>4623</v>
      </c>
      <c r="I997" s="293" t="s">
        <v>4623</v>
      </c>
      <c r="J997" s="293" t="s">
        <v>4623</v>
      </c>
      <c r="K997" s="290" t="s">
        <v>4623</v>
      </c>
      <c r="L997" s="290" t="s">
        <v>4623</v>
      </c>
      <c r="M997" s="290" t="s">
        <v>4623</v>
      </c>
      <c r="N997" s="290" t="s">
        <v>4623</v>
      </c>
      <c r="O997" s="290" t="s">
        <v>4623</v>
      </c>
      <c r="P997" s="290" t="s">
        <v>999</v>
      </c>
      <c r="Q997" s="291" t="s">
        <v>4623</v>
      </c>
      <c r="R997" s="276"/>
      <c r="S997" s="277">
        <f>IF(OR(C997="",C997=T$4),NA(),MATCH($B997&amp;$C997,'Smelter Reference List'!$J:$J,0))</f>
        <v>367</v>
      </c>
      <c r="T997" s="278"/>
      <c r="U997" s="278"/>
      <c r="V997" s="278"/>
      <c r="W997" s="278"/>
    </row>
    <row r="998" spans="1:23" s="269" customFormat="1" ht="20.25">
      <c r="A998" s="267"/>
      <c r="B998" s="275" t="s">
        <v>2437</v>
      </c>
      <c r="C998" s="275" t="s">
        <v>2846</v>
      </c>
      <c r="D998" s="168" t="s">
        <v>2846</v>
      </c>
      <c r="E998" s="168" t="s">
        <v>1813</v>
      </c>
      <c r="F998" s="168" t="s">
        <v>2847</v>
      </c>
      <c r="G998" s="168" t="s">
        <v>3324</v>
      </c>
      <c r="H998" s="292" t="s">
        <v>4623</v>
      </c>
      <c r="I998" s="293" t="s">
        <v>4623</v>
      </c>
      <c r="J998" s="293" t="s">
        <v>4623</v>
      </c>
      <c r="K998" s="290" t="s">
        <v>4623</v>
      </c>
      <c r="L998" s="290" t="s">
        <v>4623</v>
      </c>
      <c r="M998" s="290" t="s">
        <v>4623</v>
      </c>
      <c r="N998" s="290" t="s">
        <v>4623</v>
      </c>
      <c r="O998" s="290" t="s">
        <v>4623</v>
      </c>
      <c r="P998" s="290" t="s">
        <v>999</v>
      </c>
      <c r="Q998" s="291" t="s">
        <v>4623</v>
      </c>
      <c r="R998" s="276"/>
      <c r="S998" s="277">
        <f>IF(OR(C998="",C998=T$4),NA(),MATCH($B998&amp;$C998,'Smelter Reference List'!$J:$J,0))</f>
        <v>368</v>
      </c>
      <c r="T998" s="278"/>
      <c r="U998" s="278"/>
      <c r="V998" s="278"/>
      <c r="W998" s="278"/>
    </row>
    <row r="999" spans="1:23" s="269" customFormat="1" ht="20.25">
      <c r="A999" s="267"/>
      <c r="B999" s="275" t="s">
        <v>2437</v>
      </c>
      <c r="C999" s="275" t="s">
        <v>4392</v>
      </c>
      <c r="D999" s="275" t="s">
        <v>4392</v>
      </c>
      <c r="E999" s="168" t="s">
        <v>2282</v>
      </c>
      <c r="F999" s="168" t="s">
        <v>1482</v>
      </c>
      <c r="G999" s="168" t="s">
        <v>3324</v>
      </c>
      <c r="H999" s="292" t="s">
        <v>4623</v>
      </c>
      <c r="I999" s="293" t="s">
        <v>4623</v>
      </c>
      <c r="J999" s="293" t="s">
        <v>4623</v>
      </c>
      <c r="K999" s="290" t="s">
        <v>4623</v>
      </c>
      <c r="L999" s="290" t="s">
        <v>4623</v>
      </c>
      <c r="M999" s="290" t="s">
        <v>4623</v>
      </c>
      <c r="N999" s="290" t="s">
        <v>4623</v>
      </c>
      <c r="O999" s="290" t="s">
        <v>4868</v>
      </c>
      <c r="P999" s="290" t="s">
        <v>999</v>
      </c>
      <c r="Q999" s="291" t="s">
        <v>4623</v>
      </c>
      <c r="R999" s="276"/>
      <c r="S999" s="277">
        <f>IF(OR(C999="",C999=T$4),NA(),MATCH($B999&amp;$C999,'Smelter Reference List'!$J:$J,0))</f>
        <v>369</v>
      </c>
      <c r="T999" s="278"/>
      <c r="U999" s="278"/>
      <c r="V999" s="278"/>
      <c r="W999" s="278"/>
    </row>
    <row r="1000" spans="1:23" s="269" customFormat="1" ht="20.25">
      <c r="A1000" s="267"/>
      <c r="B1000" s="275" t="s">
        <v>2437</v>
      </c>
      <c r="C1000" s="275" t="s">
        <v>2803</v>
      </c>
      <c r="D1000" s="168" t="s">
        <v>5528</v>
      </c>
      <c r="E1000" s="168" t="s">
        <v>2351</v>
      </c>
      <c r="F1000" s="168" t="s">
        <v>2804</v>
      </c>
      <c r="G1000" s="168" t="s">
        <v>3324</v>
      </c>
      <c r="H1000" s="292" t="s">
        <v>4623</v>
      </c>
      <c r="I1000" s="293" t="s">
        <v>4623</v>
      </c>
      <c r="J1000" s="293" t="s">
        <v>4623</v>
      </c>
      <c r="K1000" s="290" t="s">
        <v>4623</v>
      </c>
      <c r="L1000" s="290" t="s">
        <v>4623</v>
      </c>
      <c r="M1000" s="290" t="s">
        <v>4623</v>
      </c>
      <c r="N1000" s="290" t="s">
        <v>4623</v>
      </c>
      <c r="O1000" s="290" t="s">
        <v>4792</v>
      </c>
      <c r="P1000" s="290" t="s">
        <v>999</v>
      </c>
      <c r="Q1000" s="291" t="s">
        <v>4623</v>
      </c>
      <c r="R1000" s="276"/>
      <c r="S1000" s="277">
        <f>IF(OR(C1000="",C1000=T$4),NA(),MATCH($B1000&amp;$C1000,'Smelter Reference List'!$J:$J,0))</f>
        <v>373</v>
      </c>
      <c r="T1000" s="278"/>
      <c r="U1000" s="278"/>
      <c r="V1000" s="278"/>
      <c r="W1000" s="278"/>
    </row>
    <row r="1001" spans="1:23" s="269" customFormat="1" ht="20.25">
      <c r="A1001" s="267"/>
      <c r="B1001" s="275" t="s">
        <v>2437</v>
      </c>
      <c r="C1001" s="275" t="s">
        <v>1616</v>
      </c>
      <c r="D1001" s="168" t="s">
        <v>6330</v>
      </c>
      <c r="E1001" s="168" t="s">
        <v>2351</v>
      </c>
      <c r="F1001" s="168" t="s">
        <v>1483</v>
      </c>
      <c r="G1001" s="168" t="s">
        <v>3324</v>
      </c>
      <c r="H1001" s="292" t="s">
        <v>4623</v>
      </c>
      <c r="I1001" s="293" t="s">
        <v>4623</v>
      </c>
      <c r="J1001" s="293" t="s">
        <v>4623</v>
      </c>
      <c r="K1001" s="290" t="s">
        <v>4623</v>
      </c>
      <c r="L1001" s="290" t="s">
        <v>4623</v>
      </c>
      <c r="M1001" s="290" t="s">
        <v>4623</v>
      </c>
      <c r="N1001" s="290" t="s">
        <v>4623</v>
      </c>
      <c r="O1001" s="290" t="s">
        <v>4623</v>
      </c>
      <c r="P1001" s="290" t="s">
        <v>999</v>
      </c>
      <c r="Q1001" s="291" t="s">
        <v>4623</v>
      </c>
      <c r="R1001" s="276"/>
      <c r="S1001" s="277">
        <f>IF(OR(C1001="",C1001=T$4),NA(),MATCH($B1001&amp;$C1001,'Smelter Reference List'!$J:$J,0))</f>
        <v>375</v>
      </c>
      <c r="T1001" s="278"/>
      <c r="U1001" s="278"/>
      <c r="V1001" s="278"/>
      <c r="W1001" s="278"/>
    </row>
    <row r="1002" spans="1:23" s="269" customFormat="1" ht="20.25">
      <c r="A1002" s="267"/>
      <c r="B1002" s="275" t="s">
        <v>2437</v>
      </c>
      <c r="C1002" s="275" t="s">
        <v>2848</v>
      </c>
      <c r="D1002" s="168" t="s">
        <v>6331</v>
      </c>
      <c r="E1002" s="168" t="s">
        <v>2351</v>
      </c>
      <c r="F1002" s="168" t="s">
        <v>2849</v>
      </c>
      <c r="G1002" s="168" t="s">
        <v>3324</v>
      </c>
      <c r="H1002" s="292" t="s">
        <v>4623</v>
      </c>
      <c r="I1002" s="293" t="s">
        <v>4623</v>
      </c>
      <c r="J1002" s="293" t="s">
        <v>4623</v>
      </c>
      <c r="K1002" s="290" t="s">
        <v>4623</v>
      </c>
      <c r="L1002" s="290" t="s">
        <v>4623</v>
      </c>
      <c r="M1002" s="290" t="s">
        <v>4623</v>
      </c>
      <c r="N1002" s="290" t="s">
        <v>4623</v>
      </c>
      <c r="O1002" s="290" t="s">
        <v>4645</v>
      </c>
      <c r="P1002" s="290" t="s">
        <v>999</v>
      </c>
      <c r="Q1002" s="291" t="s">
        <v>4623</v>
      </c>
      <c r="R1002" s="276"/>
      <c r="S1002" s="277">
        <f>IF(OR(C1002="",C1002=T$4),NA(),MATCH($B1002&amp;$C1002,'Smelter Reference List'!$J:$J,0))</f>
        <v>376</v>
      </c>
      <c r="T1002" s="278"/>
      <c r="U1002" s="278"/>
      <c r="V1002" s="278"/>
      <c r="W1002" s="278"/>
    </row>
    <row r="1003" spans="1:23" s="269" customFormat="1" ht="20.25">
      <c r="A1003" s="267"/>
      <c r="B1003" s="275" t="s">
        <v>2437</v>
      </c>
      <c r="C1003" s="275" t="s">
        <v>1617</v>
      </c>
      <c r="D1003" s="168" t="s">
        <v>6332</v>
      </c>
      <c r="E1003" s="168" t="s">
        <v>2351</v>
      </c>
      <c r="F1003" s="168" t="s">
        <v>1484</v>
      </c>
      <c r="G1003" s="168" t="s">
        <v>3324</v>
      </c>
      <c r="H1003" s="292" t="s">
        <v>4623</v>
      </c>
      <c r="I1003" s="293" t="s">
        <v>4623</v>
      </c>
      <c r="J1003" s="293" t="s">
        <v>4623</v>
      </c>
      <c r="K1003" s="290" t="s">
        <v>4623</v>
      </c>
      <c r="L1003" s="290" t="s">
        <v>4623</v>
      </c>
      <c r="M1003" s="290" t="s">
        <v>4623</v>
      </c>
      <c r="N1003" s="290" t="s">
        <v>4623</v>
      </c>
      <c r="O1003" s="290" t="s">
        <v>4600</v>
      </c>
      <c r="P1003" s="290" t="s">
        <v>999</v>
      </c>
      <c r="Q1003" s="291" t="s">
        <v>4623</v>
      </c>
      <c r="R1003" s="276"/>
      <c r="S1003" s="277">
        <f>IF(OR(C1003="",C1003=T$4),NA(),MATCH($B1003&amp;$C1003,'Smelter Reference List'!$J:$J,0))</f>
        <v>377</v>
      </c>
      <c r="T1003" s="278"/>
      <c r="U1003" s="278"/>
      <c r="V1003" s="278"/>
      <c r="W1003" s="278"/>
    </row>
    <row r="1004" spans="1:23" s="269" customFormat="1" ht="20.25">
      <c r="A1004" s="267"/>
      <c r="B1004" s="275" t="s">
        <v>2437</v>
      </c>
      <c r="C1004" s="275" t="s">
        <v>2805</v>
      </c>
      <c r="D1004" s="168" t="s">
        <v>5529</v>
      </c>
      <c r="E1004" s="168" t="s">
        <v>2351</v>
      </c>
      <c r="F1004" s="168" t="s">
        <v>2806</v>
      </c>
      <c r="G1004" s="168" t="s">
        <v>3324</v>
      </c>
      <c r="H1004" s="292" t="s">
        <v>4623</v>
      </c>
      <c r="I1004" s="293" t="s">
        <v>4623</v>
      </c>
      <c r="J1004" s="293" t="s">
        <v>4623</v>
      </c>
      <c r="K1004" s="290" t="s">
        <v>4623</v>
      </c>
      <c r="L1004" s="290" t="s">
        <v>4623</v>
      </c>
      <c r="M1004" s="290" t="s">
        <v>4623</v>
      </c>
      <c r="N1004" s="290" t="s">
        <v>4623</v>
      </c>
      <c r="O1004" s="290" t="s">
        <v>4792</v>
      </c>
      <c r="P1004" s="290" t="s">
        <v>999</v>
      </c>
      <c r="Q1004" s="291" t="s">
        <v>4623</v>
      </c>
      <c r="R1004" s="276"/>
      <c r="S1004" s="277">
        <f>IF(OR(C1004="",C1004=T$4),NA(),MATCH($B1004&amp;$C1004,'Smelter Reference List'!$J:$J,0))</f>
        <v>378</v>
      </c>
      <c r="T1004" s="278"/>
      <c r="U1004" s="278"/>
      <c r="V1004" s="278"/>
      <c r="W1004" s="278"/>
    </row>
    <row r="1005" spans="1:23" s="269" customFormat="1" ht="20.25">
      <c r="A1005" s="267"/>
      <c r="B1005" s="275" t="s">
        <v>2437</v>
      </c>
      <c r="C1005" s="275" t="s">
        <v>4530</v>
      </c>
      <c r="D1005" s="168" t="s">
        <v>6333</v>
      </c>
      <c r="E1005" s="168" t="s">
        <v>2351</v>
      </c>
      <c r="F1005" s="168" t="s">
        <v>4531</v>
      </c>
      <c r="G1005" s="168" t="s">
        <v>3324</v>
      </c>
      <c r="H1005" s="292" t="s">
        <v>4623</v>
      </c>
      <c r="I1005" s="293" t="s">
        <v>4623</v>
      </c>
      <c r="J1005" s="293" t="s">
        <v>4623</v>
      </c>
      <c r="K1005" s="290" t="s">
        <v>4623</v>
      </c>
      <c r="L1005" s="290" t="s">
        <v>4623</v>
      </c>
      <c r="M1005" s="290" t="s">
        <v>4623</v>
      </c>
      <c r="N1005" s="290" t="s">
        <v>4623</v>
      </c>
      <c r="O1005" s="290" t="s">
        <v>4623</v>
      </c>
      <c r="P1005" s="290" t="s">
        <v>999</v>
      </c>
      <c r="Q1005" s="291" t="s">
        <v>4623</v>
      </c>
      <c r="R1005" s="276"/>
      <c r="S1005" s="277">
        <f>IF(OR(C1005="",C1005=T$4),NA(),MATCH($B1005&amp;$C1005,'Smelter Reference List'!$J:$J,0))</f>
        <v>379</v>
      </c>
      <c r="T1005" s="278"/>
      <c r="U1005" s="278"/>
      <c r="V1005" s="278"/>
      <c r="W1005" s="278"/>
    </row>
    <row r="1006" spans="1:23" s="269" customFormat="1" ht="20.25">
      <c r="A1006" s="267"/>
      <c r="B1006" s="275" t="s">
        <v>2437</v>
      </c>
      <c r="C1006" s="275" t="s">
        <v>2807</v>
      </c>
      <c r="D1006" s="168" t="s">
        <v>6334</v>
      </c>
      <c r="E1006" s="168" t="s">
        <v>2351</v>
      </c>
      <c r="F1006" s="168" t="s">
        <v>2808</v>
      </c>
      <c r="G1006" s="168" t="s">
        <v>3324</v>
      </c>
      <c r="H1006" s="292" t="s">
        <v>4623</v>
      </c>
      <c r="I1006" s="293" t="s">
        <v>4623</v>
      </c>
      <c r="J1006" s="293" t="s">
        <v>4623</v>
      </c>
      <c r="K1006" s="290" t="s">
        <v>4623</v>
      </c>
      <c r="L1006" s="290" t="s">
        <v>4623</v>
      </c>
      <c r="M1006" s="290" t="s">
        <v>4623</v>
      </c>
      <c r="N1006" s="290" t="s">
        <v>4623</v>
      </c>
      <c r="O1006" s="290" t="s">
        <v>4792</v>
      </c>
      <c r="P1006" s="290" t="s">
        <v>999</v>
      </c>
      <c r="Q1006" s="291" t="s">
        <v>4623</v>
      </c>
      <c r="R1006" s="276"/>
      <c r="S1006" s="277">
        <f>IF(OR(C1006="",C1006=T$4),NA(),MATCH($B1006&amp;$C1006,'Smelter Reference List'!$J:$J,0))</f>
        <v>381</v>
      </c>
      <c r="T1006" s="278"/>
      <c r="U1006" s="278"/>
      <c r="V1006" s="278"/>
      <c r="W1006" s="278"/>
    </row>
    <row r="1007" spans="1:23" s="269" customFormat="1" ht="20.25">
      <c r="A1007" s="267"/>
      <c r="B1007" s="275" t="s">
        <v>2437</v>
      </c>
      <c r="C1007" s="275" t="s">
        <v>1257</v>
      </c>
      <c r="D1007" s="168" t="s">
        <v>6335</v>
      </c>
      <c r="E1007" s="168" t="s">
        <v>2351</v>
      </c>
      <c r="F1007" s="168" t="s">
        <v>1486</v>
      </c>
      <c r="G1007" s="168" t="s">
        <v>3324</v>
      </c>
      <c r="H1007" s="292" t="s">
        <v>4623</v>
      </c>
      <c r="I1007" s="293" t="s">
        <v>4623</v>
      </c>
      <c r="J1007" s="293" t="s">
        <v>4623</v>
      </c>
      <c r="K1007" s="290" t="s">
        <v>4623</v>
      </c>
      <c r="L1007" s="290" t="s">
        <v>4623</v>
      </c>
      <c r="M1007" s="290" t="s">
        <v>4623</v>
      </c>
      <c r="N1007" s="290" t="s">
        <v>4623</v>
      </c>
      <c r="O1007" s="290" t="s">
        <v>4667</v>
      </c>
      <c r="P1007" s="290" t="s">
        <v>999</v>
      </c>
      <c r="Q1007" s="291" t="s">
        <v>4623</v>
      </c>
      <c r="R1007" s="276"/>
      <c r="S1007" s="277">
        <f>IF(OR(C1007="",C1007=T$4),NA(),MATCH($B1007&amp;$C1007,'Smelter Reference List'!$J:$J,0))</f>
        <v>382</v>
      </c>
      <c r="T1007" s="278"/>
      <c r="U1007" s="278"/>
      <c r="V1007" s="278"/>
      <c r="W1007" s="278"/>
    </row>
    <row r="1008" spans="1:23" s="269" customFormat="1" ht="20.25">
      <c r="A1008" s="267"/>
      <c r="B1008" s="275" t="s">
        <v>2437</v>
      </c>
      <c r="C1008" s="275" t="s">
        <v>1281</v>
      </c>
      <c r="D1008" s="168" t="s">
        <v>5539</v>
      </c>
      <c r="E1008" s="168" t="s">
        <v>2351</v>
      </c>
      <c r="F1008" s="168" t="s">
        <v>1487</v>
      </c>
      <c r="G1008" s="168" t="s">
        <v>3324</v>
      </c>
      <c r="H1008" s="292" t="s">
        <v>4623</v>
      </c>
      <c r="I1008" s="293" t="s">
        <v>4623</v>
      </c>
      <c r="J1008" s="293" t="s">
        <v>4623</v>
      </c>
      <c r="K1008" s="290" t="s">
        <v>4623</v>
      </c>
      <c r="L1008" s="290" t="s">
        <v>4623</v>
      </c>
      <c r="M1008" s="290" t="s">
        <v>4623</v>
      </c>
      <c r="N1008" s="290" t="s">
        <v>4623</v>
      </c>
      <c r="O1008" s="290" t="s">
        <v>4645</v>
      </c>
      <c r="P1008" s="290" t="s">
        <v>999</v>
      </c>
      <c r="Q1008" s="291" t="s">
        <v>4623</v>
      </c>
      <c r="R1008" s="276"/>
      <c r="S1008" s="277">
        <f>IF(OR(C1008="",C1008=T$4),NA(),MATCH($B1008&amp;$C1008,'Smelter Reference List'!$J:$J,0))</f>
        <v>383</v>
      </c>
      <c r="T1008" s="278"/>
      <c r="U1008" s="278"/>
      <c r="V1008" s="278"/>
      <c r="W1008" s="278"/>
    </row>
    <row r="1009" spans="1:23" s="269" customFormat="1" ht="20.25">
      <c r="A1009" s="267"/>
      <c r="B1009" s="275" t="s">
        <v>2437</v>
      </c>
      <c r="C1009" s="275" t="s">
        <v>3767</v>
      </c>
      <c r="D1009" s="168" t="s">
        <v>6336</v>
      </c>
      <c r="E1009" s="168" t="s">
        <v>2351</v>
      </c>
      <c r="F1009" s="168" t="s">
        <v>3768</v>
      </c>
      <c r="G1009" s="168" t="s">
        <v>3324</v>
      </c>
      <c r="H1009" s="292" t="s">
        <v>4623</v>
      </c>
      <c r="I1009" s="293" t="s">
        <v>4623</v>
      </c>
      <c r="J1009" s="293" t="s">
        <v>4623</v>
      </c>
      <c r="K1009" s="290" t="s">
        <v>4623</v>
      </c>
      <c r="L1009" s="290" t="s">
        <v>4623</v>
      </c>
      <c r="M1009" s="290" t="s">
        <v>4623</v>
      </c>
      <c r="N1009" s="290" t="s">
        <v>4623</v>
      </c>
      <c r="O1009" s="290" t="s">
        <v>4623</v>
      </c>
      <c r="P1009" s="290" t="s">
        <v>999</v>
      </c>
      <c r="Q1009" s="291" t="s">
        <v>4623</v>
      </c>
      <c r="R1009" s="276"/>
      <c r="S1009" s="277">
        <f>IF(OR(C1009="",C1009=T$4),NA(),MATCH($B1009&amp;$C1009,'Smelter Reference List'!$J:$J,0))</f>
        <v>386</v>
      </c>
      <c r="T1009" s="278"/>
      <c r="U1009" s="278"/>
      <c r="V1009" s="278"/>
      <c r="W1009" s="278"/>
    </row>
    <row r="1010" spans="1:23" s="269" customFormat="1" ht="20.25">
      <c r="A1010" s="267"/>
      <c r="B1010" s="275" t="s">
        <v>2437</v>
      </c>
      <c r="C1010" s="275" t="s">
        <v>1258</v>
      </c>
      <c r="D1010" s="168" t="s">
        <v>6337</v>
      </c>
      <c r="E1010" s="168" t="s">
        <v>2351</v>
      </c>
      <c r="F1010" s="168" t="s">
        <v>1489</v>
      </c>
      <c r="G1010" s="168" t="s">
        <v>3324</v>
      </c>
      <c r="H1010" s="292" t="s">
        <v>4623</v>
      </c>
      <c r="I1010" s="293" t="s">
        <v>4623</v>
      </c>
      <c r="J1010" s="293" t="s">
        <v>4623</v>
      </c>
      <c r="K1010" s="290" t="s">
        <v>4623</v>
      </c>
      <c r="L1010" s="290" t="s">
        <v>4623</v>
      </c>
      <c r="M1010" s="290" t="s">
        <v>4623</v>
      </c>
      <c r="N1010" s="290" t="s">
        <v>4623</v>
      </c>
      <c r="O1010" s="290" t="s">
        <v>4623</v>
      </c>
      <c r="P1010" s="290" t="s">
        <v>999</v>
      </c>
      <c r="Q1010" s="291" t="s">
        <v>4623</v>
      </c>
      <c r="R1010" s="276"/>
      <c r="S1010" s="277">
        <f>IF(OR(C1010="",C1010=T$4),NA(),MATCH($B1010&amp;$C1010,'Smelter Reference List'!$J:$J,0))</f>
        <v>387</v>
      </c>
      <c r="T1010" s="278"/>
      <c r="U1010" s="278"/>
      <c r="V1010" s="278"/>
      <c r="W1010" s="278"/>
    </row>
    <row r="1011" spans="1:23" s="269" customFormat="1" ht="20.25">
      <c r="A1011" s="267"/>
      <c r="B1011" s="275" t="s">
        <v>2437</v>
      </c>
      <c r="C1011" s="275" t="s">
        <v>1283</v>
      </c>
      <c r="D1011" s="168" t="s">
        <v>5550</v>
      </c>
      <c r="E1011" s="168" t="s">
        <v>2351</v>
      </c>
      <c r="F1011" s="168" t="s">
        <v>1490</v>
      </c>
      <c r="G1011" s="168" t="s">
        <v>3324</v>
      </c>
      <c r="H1011" s="292" t="s">
        <v>4623</v>
      </c>
      <c r="I1011" s="293" t="s">
        <v>4623</v>
      </c>
      <c r="J1011" s="293" t="s">
        <v>4623</v>
      </c>
      <c r="K1011" s="290" t="s">
        <v>4623</v>
      </c>
      <c r="L1011" s="290" t="s">
        <v>4623</v>
      </c>
      <c r="M1011" s="290" t="s">
        <v>4623</v>
      </c>
      <c r="N1011" s="290" t="s">
        <v>4623</v>
      </c>
      <c r="O1011" s="290" t="s">
        <v>4645</v>
      </c>
      <c r="P1011" s="290" t="s">
        <v>999</v>
      </c>
      <c r="Q1011" s="291" t="s">
        <v>4623</v>
      </c>
      <c r="R1011" s="276"/>
      <c r="S1011" s="277">
        <f>IF(OR(C1011="",C1011=T$4),NA(),MATCH($B1011&amp;$C1011,'Smelter Reference List'!$J:$J,0))</f>
        <v>388</v>
      </c>
      <c r="T1011" s="278"/>
      <c r="U1011" s="278"/>
      <c r="V1011" s="278"/>
      <c r="W1011" s="278"/>
    </row>
    <row r="1012" spans="1:23" s="269" customFormat="1" ht="20.25">
      <c r="A1012" s="267"/>
      <c r="B1012" s="275" t="s">
        <v>2437</v>
      </c>
      <c r="C1012" s="275" t="s">
        <v>2811</v>
      </c>
      <c r="D1012" s="168" t="s">
        <v>5554</v>
      </c>
      <c r="E1012" s="168" t="s">
        <v>2351</v>
      </c>
      <c r="F1012" s="168" t="s">
        <v>2812</v>
      </c>
      <c r="G1012" s="168" t="s">
        <v>3324</v>
      </c>
      <c r="H1012" s="292" t="s">
        <v>4623</v>
      </c>
      <c r="I1012" s="293" t="s">
        <v>4623</v>
      </c>
      <c r="J1012" s="293" t="s">
        <v>4623</v>
      </c>
      <c r="K1012" s="290" t="s">
        <v>4623</v>
      </c>
      <c r="L1012" s="290" t="s">
        <v>4623</v>
      </c>
      <c r="M1012" s="290" t="s">
        <v>4623</v>
      </c>
      <c r="N1012" s="290" t="s">
        <v>4623</v>
      </c>
      <c r="O1012" s="290" t="s">
        <v>4792</v>
      </c>
      <c r="P1012" s="290" t="s">
        <v>999</v>
      </c>
      <c r="Q1012" s="291" t="s">
        <v>4623</v>
      </c>
      <c r="R1012" s="276"/>
      <c r="S1012" s="277">
        <f>IF(OR(C1012="",C1012=T$4),NA(),MATCH($B1012&amp;$C1012,'Smelter Reference List'!$J:$J,0))</f>
        <v>389</v>
      </c>
      <c r="T1012" s="278"/>
      <c r="U1012" s="278"/>
      <c r="V1012" s="278"/>
      <c r="W1012" s="278"/>
    </row>
    <row r="1013" spans="1:23" s="269" customFormat="1" ht="20.25">
      <c r="A1013" s="267"/>
      <c r="B1013" s="275" t="s">
        <v>2437</v>
      </c>
      <c r="C1013" s="275" t="s">
        <v>2850</v>
      </c>
      <c r="D1013" s="168" t="s">
        <v>6338</v>
      </c>
      <c r="E1013" s="168" t="s">
        <v>2351</v>
      </c>
      <c r="F1013" s="168" t="s">
        <v>2851</v>
      </c>
      <c r="G1013" s="168" t="s">
        <v>3324</v>
      </c>
      <c r="H1013" s="292" t="s">
        <v>4623</v>
      </c>
      <c r="I1013" s="293" t="s">
        <v>4623</v>
      </c>
      <c r="J1013" s="293" t="s">
        <v>4623</v>
      </c>
      <c r="K1013" s="290" t="s">
        <v>4623</v>
      </c>
      <c r="L1013" s="290" t="s">
        <v>4623</v>
      </c>
      <c r="M1013" s="290" t="s">
        <v>4623</v>
      </c>
      <c r="N1013" s="290" t="s">
        <v>4623</v>
      </c>
      <c r="O1013" s="290" t="s">
        <v>4792</v>
      </c>
      <c r="P1013" s="290" t="s">
        <v>999</v>
      </c>
      <c r="Q1013" s="291" t="s">
        <v>4623</v>
      </c>
      <c r="R1013" s="276"/>
      <c r="S1013" s="277">
        <f>IF(OR(C1013="",C1013=T$4),NA(),MATCH($B1013&amp;$C1013,'Smelter Reference List'!$J:$J,0))</f>
        <v>392</v>
      </c>
      <c r="T1013" s="278"/>
      <c r="U1013" s="278"/>
      <c r="V1013" s="278"/>
      <c r="W1013" s="278"/>
    </row>
    <row r="1014" spans="1:23" s="269" customFormat="1" ht="20.25">
      <c r="A1014" s="267"/>
      <c r="B1014" s="275" t="s">
        <v>2437</v>
      </c>
      <c r="C1014" s="275" t="s">
        <v>1259</v>
      </c>
      <c r="D1014" s="168" t="s">
        <v>6339</v>
      </c>
      <c r="E1014" s="168" t="s">
        <v>2351</v>
      </c>
      <c r="F1014" s="168" t="s">
        <v>1491</v>
      </c>
      <c r="G1014" s="168" t="s">
        <v>3324</v>
      </c>
      <c r="H1014" s="292" t="s">
        <v>4623</v>
      </c>
      <c r="I1014" s="293" t="s">
        <v>4623</v>
      </c>
      <c r="J1014" s="293" t="s">
        <v>4623</v>
      </c>
      <c r="K1014" s="290" t="s">
        <v>4623</v>
      </c>
      <c r="L1014" s="290" t="s">
        <v>4623</v>
      </c>
      <c r="M1014" s="290" t="s">
        <v>4623</v>
      </c>
      <c r="N1014" s="290" t="s">
        <v>4623</v>
      </c>
      <c r="O1014" s="290" t="s">
        <v>4792</v>
      </c>
      <c r="P1014" s="290" t="s">
        <v>999</v>
      </c>
      <c r="Q1014" s="291" t="s">
        <v>4623</v>
      </c>
      <c r="R1014" s="276"/>
      <c r="S1014" s="277">
        <f>IF(OR(C1014="",C1014=T$4),NA(),MATCH($B1014&amp;$C1014,'Smelter Reference List'!$J:$J,0))</f>
        <v>394</v>
      </c>
      <c r="T1014" s="278"/>
      <c r="U1014" s="278"/>
      <c r="V1014" s="278"/>
      <c r="W1014" s="278"/>
    </row>
    <row r="1015" spans="1:23" s="269" customFormat="1" ht="20.25">
      <c r="A1015" s="267"/>
      <c r="B1015" s="275" t="s">
        <v>2437</v>
      </c>
      <c r="C1015" s="275" t="s">
        <v>1284</v>
      </c>
      <c r="D1015" s="168" t="s">
        <v>5564</v>
      </c>
      <c r="E1015" s="168" t="s">
        <v>2351</v>
      </c>
      <c r="F1015" s="168" t="s">
        <v>1492</v>
      </c>
      <c r="G1015" s="168" t="s">
        <v>3324</v>
      </c>
      <c r="H1015" s="292" t="s">
        <v>4623</v>
      </c>
      <c r="I1015" s="293" t="s">
        <v>4623</v>
      </c>
      <c r="J1015" s="293" t="s">
        <v>4623</v>
      </c>
      <c r="K1015" s="290" t="s">
        <v>4623</v>
      </c>
      <c r="L1015" s="290" t="s">
        <v>4623</v>
      </c>
      <c r="M1015" s="290" t="s">
        <v>4623</v>
      </c>
      <c r="N1015" s="290" t="s">
        <v>4623</v>
      </c>
      <c r="O1015" s="290" t="s">
        <v>4645</v>
      </c>
      <c r="P1015" s="290" t="s">
        <v>999</v>
      </c>
      <c r="Q1015" s="291" t="s">
        <v>4623</v>
      </c>
      <c r="R1015" s="276"/>
      <c r="S1015" s="277">
        <f>IF(OR(C1015="",C1015=T$4),NA(),MATCH($B1015&amp;$C1015,'Smelter Reference List'!$J:$J,0))</f>
        <v>395</v>
      </c>
      <c r="T1015" s="278"/>
      <c r="U1015" s="278"/>
      <c r="V1015" s="278"/>
      <c r="W1015" s="278"/>
    </row>
    <row r="1016" spans="1:23" s="269" customFormat="1" ht="20.25">
      <c r="A1016" s="267"/>
      <c r="B1016" s="275" t="s">
        <v>2437</v>
      </c>
      <c r="C1016" s="275" t="s">
        <v>2813</v>
      </c>
      <c r="D1016" s="168" t="s">
        <v>6340</v>
      </c>
      <c r="E1016" s="168" t="s">
        <v>2351</v>
      </c>
      <c r="F1016" s="168" t="s">
        <v>2814</v>
      </c>
      <c r="G1016" s="168" t="s">
        <v>3324</v>
      </c>
      <c r="H1016" s="292" t="s">
        <v>4623</v>
      </c>
      <c r="I1016" s="293" t="s">
        <v>4623</v>
      </c>
      <c r="J1016" s="293" t="s">
        <v>4623</v>
      </c>
      <c r="K1016" s="290" t="s">
        <v>4623</v>
      </c>
      <c r="L1016" s="290" t="s">
        <v>4623</v>
      </c>
      <c r="M1016" s="290" t="s">
        <v>4623</v>
      </c>
      <c r="N1016" s="290" t="s">
        <v>4623</v>
      </c>
      <c r="O1016" s="290" t="s">
        <v>6024</v>
      </c>
      <c r="P1016" s="290" t="s">
        <v>999</v>
      </c>
      <c r="Q1016" s="291" t="s">
        <v>4623</v>
      </c>
      <c r="R1016" s="276"/>
      <c r="S1016" s="277">
        <f>IF(OR(C1016="",C1016=T$4),NA(),MATCH($B1016&amp;$C1016,'Smelter Reference List'!$J:$J,0))</f>
        <v>396</v>
      </c>
      <c r="T1016" s="278"/>
      <c r="U1016" s="278"/>
      <c r="V1016" s="278"/>
      <c r="W1016" s="278"/>
    </row>
    <row r="1017" spans="1:23" s="269" customFormat="1" ht="20.25">
      <c r="A1017" s="267"/>
      <c r="B1017" s="275" t="s">
        <v>2437</v>
      </c>
      <c r="C1017" s="275" t="s">
        <v>2898</v>
      </c>
      <c r="D1017" s="168" t="s">
        <v>6341</v>
      </c>
      <c r="E1017" s="168" t="s">
        <v>2351</v>
      </c>
      <c r="F1017" s="168" t="s">
        <v>2818</v>
      </c>
      <c r="G1017" s="168" t="s">
        <v>3324</v>
      </c>
      <c r="H1017" s="292" t="s">
        <v>4623</v>
      </c>
      <c r="I1017" s="293" t="s">
        <v>4623</v>
      </c>
      <c r="J1017" s="293" t="s">
        <v>4623</v>
      </c>
      <c r="K1017" s="290" t="s">
        <v>4623</v>
      </c>
      <c r="L1017" s="290" t="s">
        <v>4623</v>
      </c>
      <c r="M1017" s="290" t="s">
        <v>4623</v>
      </c>
      <c r="N1017" s="290" t="s">
        <v>4623</v>
      </c>
      <c r="O1017" s="290" t="s">
        <v>4792</v>
      </c>
      <c r="P1017" s="290" t="s">
        <v>999</v>
      </c>
      <c r="Q1017" s="291" t="s">
        <v>4623</v>
      </c>
      <c r="R1017" s="276"/>
      <c r="S1017" s="277">
        <f>IF(OR(C1017="",C1017=T$4),NA(),MATCH($B1017&amp;$C1017,'Smelter Reference List'!$J:$J,0))</f>
        <v>397</v>
      </c>
      <c r="T1017" s="278"/>
      <c r="U1017" s="278"/>
      <c r="V1017" s="278"/>
      <c r="W1017" s="278"/>
    </row>
    <row r="1018" spans="1:23" s="269" customFormat="1" ht="20.25">
      <c r="A1018" s="267"/>
      <c r="B1018" s="275" t="s">
        <v>2437</v>
      </c>
      <c r="C1018" s="275" t="s">
        <v>1493</v>
      </c>
      <c r="D1018" s="168" t="s">
        <v>6342</v>
      </c>
      <c r="E1018" s="168" t="s">
        <v>2351</v>
      </c>
      <c r="F1018" s="168" t="s">
        <v>1494</v>
      </c>
      <c r="G1018" s="168" t="s">
        <v>3324</v>
      </c>
      <c r="H1018" s="292" t="s">
        <v>4623</v>
      </c>
      <c r="I1018" s="293" t="s">
        <v>4623</v>
      </c>
      <c r="J1018" s="293" t="s">
        <v>4623</v>
      </c>
      <c r="K1018" s="290" t="s">
        <v>4623</v>
      </c>
      <c r="L1018" s="290" t="s">
        <v>4623</v>
      </c>
      <c r="M1018" s="290" t="s">
        <v>4623</v>
      </c>
      <c r="N1018" s="290" t="s">
        <v>4623</v>
      </c>
      <c r="O1018" s="290" t="s">
        <v>4645</v>
      </c>
      <c r="P1018" s="290" t="s">
        <v>999</v>
      </c>
      <c r="Q1018" s="291" t="s">
        <v>4623</v>
      </c>
      <c r="R1018" s="276"/>
      <c r="S1018" s="277">
        <f>IF(OR(C1018="",C1018=T$4),NA(),MATCH($B1018&amp;$C1018,'Smelter Reference List'!$J:$J,0))</f>
        <v>398</v>
      </c>
      <c r="T1018" s="278"/>
      <c r="U1018" s="278"/>
      <c r="V1018" s="278"/>
      <c r="W1018" s="278"/>
    </row>
    <row r="1019" spans="1:23" s="269" customFormat="1" ht="20.25">
      <c r="A1019" s="267"/>
      <c r="B1019" s="275" t="s">
        <v>2437</v>
      </c>
      <c r="C1019" s="275" t="s">
        <v>1285</v>
      </c>
      <c r="D1019" s="168" t="s">
        <v>5571</v>
      </c>
      <c r="E1019" s="168" t="s">
        <v>2351</v>
      </c>
      <c r="F1019" s="168" t="s">
        <v>1496</v>
      </c>
      <c r="G1019" s="168" t="s">
        <v>3324</v>
      </c>
      <c r="H1019" s="292" t="s">
        <v>4623</v>
      </c>
      <c r="I1019" s="293" t="s">
        <v>4623</v>
      </c>
      <c r="J1019" s="293" t="s">
        <v>4623</v>
      </c>
      <c r="K1019" s="290" t="s">
        <v>4623</v>
      </c>
      <c r="L1019" s="290" t="s">
        <v>4623</v>
      </c>
      <c r="M1019" s="290" t="s">
        <v>4623</v>
      </c>
      <c r="N1019" s="290" t="s">
        <v>4623</v>
      </c>
      <c r="O1019" s="290" t="s">
        <v>4645</v>
      </c>
      <c r="P1019" s="290" t="s">
        <v>999</v>
      </c>
      <c r="Q1019" s="291" t="s">
        <v>4623</v>
      </c>
      <c r="R1019" s="276"/>
      <c r="S1019" s="277">
        <f>IF(OR(C1019="",C1019=T$4),NA(),MATCH($B1019&amp;$C1019,'Smelter Reference List'!$J:$J,0))</f>
        <v>400</v>
      </c>
      <c r="T1019" s="278"/>
      <c r="U1019" s="278"/>
      <c r="V1019" s="278"/>
      <c r="W1019" s="278"/>
    </row>
    <row r="1020" spans="1:23" s="269" customFormat="1" ht="20.25">
      <c r="A1020" s="267"/>
      <c r="B1020" s="275" t="s">
        <v>2437</v>
      </c>
      <c r="C1020" s="275" t="s">
        <v>4418</v>
      </c>
      <c r="D1020" s="168" t="s">
        <v>6343</v>
      </c>
      <c r="E1020" s="168" t="s">
        <v>2351</v>
      </c>
      <c r="F1020" s="168" t="s">
        <v>2815</v>
      </c>
      <c r="G1020" s="168" t="s">
        <v>3324</v>
      </c>
      <c r="H1020" s="292" t="s">
        <v>4623</v>
      </c>
      <c r="I1020" s="293" t="s">
        <v>4623</v>
      </c>
      <c r="J1020" s="293" t="s">
        <v>4623</v>
      </c>
      <c r="K1020" s="290" t="s">
        <v>4623</v>
      </c>
      <c r="L1020" s="290" t="s">
        <v>4623</v>
      </c>
      <c r="M1020" s="290" t="s">
        <v>4623</v>
      </c>
      <c r="N1020" s="290" t="s">
        <v>4623</v>
      </c>
      <c r="O1020" s="290" t="s">
        <v>5000</v>
      </c>
      <c r="P1020" s="290" t="s">
        <v>999</v>
      </c>
      <c r="Q1020" s="291" t="s">
        <v>4623</v>
      </c>
      <c r="R1020" s="276"/>
      <c r="S1020" s="277">
        <f>IF(OR(C1020="",C1020=T$4),NA(),MATCH($B1020&amp;$C1020,'Smelter Reference List'!$J:$J,0))</f>
        <v>401</v>
      </c>
      <c r="T1020" s="278"/>
      <c r="U1020" s="278"/>
      <c r="V1020" s="278"/>
      <c r="W1020" s="278"/>
    </row>
    <row r="1021" spans="1:23" s="269" customFormat="1" ht="20.25">
      <c r="A1021" s="267"/>
      <c r="B1021" s="275" t="s">
        <v>2437</v>
      </c>
      <c r="C1021" s="275" t="s">
        <v>2482</v>
      </c>
      <c r="D1021" s="168" t="s">
        <v>5575</v>
      </c>
      <c r="E1021" s="168" t="s">
        <v>2351</v>
      </c>
      <c r="F1021" s="168" t="s">
        <v>1497</v>
      </c>
      <c r="G1021" s="168" t="s">
        <v>3324</v>
      </c>
      <c r="H1021" s="292" t="s">
        <v>4623</v>
      </c>
      <c r="I1021" s="293" t="s">
        <v>4623</v>
      </c>
      <c r="J1021" s="293" t="s">
        <v>4623</v>
      </c>
      <c r="K1021" s="290" t="s">
        <v>4623</v>
      </c>
      <c r="L1021" s="290" t="s">
        <v>4623</v>
      </c>
      <c r="M1021" s="290" t="s">
        <v>4623</v>
      </c>
      <c r="N1021" s="290" t="s">
        <v>4623</v>
      </c>
      <c r="O1021" s="290" t="s">
        <v>4645</v>
      </c>
      <c r="P1021" s="290" t="s">
        <v>999</v>
      </c>
      <c r="Q1021" s="291" t="s">
        <v>4623</v>
      </c>
      <c r="R1021" s="276"/>
      <c r="S1021" s="277">
        <f>IF(OR(C1021="",C1021=T$4),NA(),MATCH($B1021&amp;$C1021,'Smelter Reference List'!$J:$J,0))</f>
        <v>402</v>
      </c>
      <c r="T1021" s="278"/>
      <c r="U1021" s="278"/>
      <c r="V1021" s="278"/>
      <c r="W1021" s="278"/>
    </row>
    <row r="1022" spans="1:23" s="269" customFormat="1" ht="20.25">
      <c r="A1022" s="267"/>
      <c r="B1022" s="275" t="s">
        <v>2437</v>
      </c>
      <c r="C1022" s="275" t="s">
        <v>2816</v>
      </c>
      <c r="D1022" s="168" t="s">
        <v>5576</v>
      </c>
      <c r="E1022" s="168" t="s">
        <v>2351</v>
      </c>
      <c r="F1022" s="168" t="s">
        <v>2817</v>
      </c>
      <c r="G1022" s="168" t="s">
        <v>3324</v>
      </c>
      <c r="H1022" s="292" t="s">
        <v>4623</v>
      </c>
      <c r="I1022" s="293" t="s">
        <v>4623</v>
      </c>
      <c r="J1022" s="293" t="s">
        <v>4623</v>
      </c>
      <c r="K1022" s="290" t="s">
        <v>4623</v>
      </c>
      <c r="L1022" s="290" t="s">
        <v>4623</v>
      </c>
      <c r="M1022" s="290" t="s">
        <v>4623</v>
      </c>
      <c r="N1022" s="290" t="s">
        <v>4623</v>
      </c>
      <c r="O1022" s="290" t="s">
        <v>4792</v>
      </c>
      <c r="P1022" s="290" t="s">
        <v>999</v>
      </c>
      <c r="Q1022" s="291" t="s">
        <v>4623</v>
      </c>
      <c r="R1022" s="276"/>
      <c r="S1022" s="277">
        <f>IF(OR(C1022="",C1022=T$4),NA(),MATCH($B1022&amp;$C1022,'Smelter Reference List'!$J:$J,0))</f>
        <v>404</v>
      </c>
      <c r="T1022" s="278"/>
      <c r="U1022" s="278"/>
      <c r="V1022" s="278"/>
      <c r="W1022" s="278"/>
    </row>
    <row r="1023" spans="1:23" s="269" customFormat="1" ht="20.25">
      <c r="A1023" s="267"/>
      <c r="B1023" s="275" t="s">
        <v>2437</v>
      </c>
      <c r="C1023" s="275" t="s">
        <v>1046</v>
      </c>
      <c r="D1023" s="168" t="s">
        <v>5590</v>
      </c>
      <c r="E1023" s="168" t="s">
        <v>2351</v>
      </c>
      <c r="F1023" s="168" t="s">
        <v>1499</v>
      </c>
      <c r="G1023" s="168" t="s">
        <v>3324</v>
      </c>
      <c r="H1023" s="292" t="s">
        <v>4623</v>
      </c>
      <c r="I1023" s="293" t="s">
        <v>4623</v>
      </c>
      <c r="J1023" s="293" t="s">
        <v>4623</v>
      </c>
      <c r="K1023" s="290" t="s">
        <v>4623</v>
      </c>
      <c r="L1023" s="290" t="s">
        <v>4623</v>
      </c>
      <c r="M1023" s="290" t="s">
        <v>4623</v>
      </c>
      <c r="N1023" s="290" t="s">
        <v>4623</v>
      </c>
      <c r="O1023" s="290" t="s">
        <v>6344</v>
      </c>
      <c r="P1023" s="290" t="s">
        <v>999</v>
      </c>
      <c r="Q1023" s="291" t="s">
        <v>4623</v>
      </c>
      <c r="R1023" s="276"/>
      <c r="S1023" s="277">
        <f>IF(OR(C1023="",C1023=T$4),NA(),MATCH($B1023&amp;$C1023,'Smelter Reference List'!$J:$J,0))</f>
        <v>411</v>
      </c>
      <c r="T1023" s="278"/>
      <c r="U1023" s="278"/>
      <c r="V1023" s="278"/>
      <c r="W1023" s="278"/>
    </row>
    <row r="1024" spans="1:23" s="269" customFormat="1" ht="20.25">
      <c r="A1024" s="267"/>
      <c r="B1024" s="275" t="s">
        <v>2437</v>
      </c>
      <c r="C1024" s="275" t="s">
        <v>2852</v>
      </c>
      <c r="D1024" s="168" t="s">
        <v>6345</v>
      </c>
      <c r="E1024" s="168" t="s">
        <v>2351</v>
      </c>
      <c r="F1024" s="168" t="s">
        <v>2853</v>
      </c>
      <c r="G1024" s="168" t="s">
        <v>3324</v>
      </c>
      <c r="H1024" s="292" t="s">
        <v>4623</v>
      </c>
      <c r="I1024" s="293" t="s">
        <v>4623</v>
      </c>
      <c r="J1024" s="293" t="s">
        <v>4623</v>
      </c>
      <c r="K1024" s="290" t="s">
        <v>4623</v>
      </c>
      <c r="L1024" s="290" t="s">
        <v>4623</v>
      </c>
      <c r="M1024" s="290" t="s">
        <v>4623</v>
      </c>
      <c r="N1024" s="290" t="s">
        <v>4623</v>
      </c>
      <c r="O1024" s="290" t="s">
        <v>4623</v>
      </c>
      <c r="P1024" s="290" t="s">
        <v>999</v>
      </c>
      <c r="Q1024" s="291" t="s">
        <v>4623</v>
      </c>
      <c r="R1024" s="276"/>
      <c r="S1024" s="277">
        <f>IF(OR(C1024="",C1024=T$4),NA(),MATCH($B1024&amp;$C1024,'Smelter Reference List'!$J:$J,0))</f>
        <v>412</v>
      </c>
      <c r="T1024" s="278"/>
      <c r="U1024" s="278"/>
      <c r="V1024" s="278"/>
      <c r="W1024" s="278"/>
    </row>
    <row r="1025" spans="1:23" s="269" customFormat="1" ht="20.25">
      <c r="A1025" s="267"/>
      <c r="B1025" s="275" t="s">
        <v>2437</v>
      </c>
      <c r="C1025" s="275" t="s">
        <v>4598</v>
      </c>
      <c r="D1025" s="168" t="s">
        <v>6346</v>
      </c>
      <c r="E1025" s="168" t="s">
        <v>2351</v>
      </c>
      <c r="F1025" s="168" t="s">
        <v>4599</v>
      </c>
      <c r="G1025" s="168" t="s">
        <v>3324</v>
      </c>
      <c r="H1025" s="292" t="s">
        <v>4623</v>
      </c>
      <c r="I1025" s="293" t="s">
        <v>4623</v>
      </c>
      <c r="J1025" s="293" t="s">
        <v>4623</v>
      </c>
      <c r="K1025" s="290" t="s">
        <v>4623</v>
      </c>
      <c r="L1025" s="290" t="s">
        <v>4623</v>
      </c>
      <c r="M1025" s="290" t="s">
        <v>4623</v>
      </c>
      <c r="N1025" s="290" t="s">
        <v>4623</v>
      </c>
      <c r="O1025" s="290" t="s">
        <v>5000</v>
      </c>
      <c r="P1025" s="290" t="s">
        <v>999</v>
      </c>
      <c r="Q1025" s="291" t="s">
        <v>4623</v>
      </c>
      <c r="R1025" s="276"/>
      <c r="S1025" s="277">
        <f>IF(OR(C1025="",C1025=T$4),NA(),MATCH($B1025&amp;$C1025,'Smelter Reference List'!$J:$J,0))</f>
        <v>413</v>
      </c>
      <c r="T1025" s="278"/>
      <c r="U1025" s="278"/>
      <c r="V1025" s="278"/>
      <c r="W1025" s="278"/>
    </row>
    <row r="1026" spans="1:23" s="269" customFormat="1" ht="20.25">
      <c r="A1026" s="267"/>
      <c r="B1026" s="275" t="s">
        <v>2437</v>
      </c>
      <c r="C1026" s="275" t="s">
        <v>4435</v>
      </c>
      <c r="D1026" s="168" t="s">
        <v>6347</v>
      </c>
      <c r="E1026" s="168" t="s">
        <v>2351</v>
      </c>
      <c r="F1026" s="168" t="s">
        <v>2854</v>
      </c>
      <c r="G1026" s="168" t="s">
        <v>3324</v>
      </c>
      <c r="H1026" s="292" t="s">
        <v>4623</v>
      </c>
      <c r="I1026" s="293" t="s">
        <v>4623</v>
      </c>
      <c r="J1026" s="293" t="s">
        <v>4623</v>
      </c>
      <c r="K1026" s="290" t="s">
        <v>4623</v>
      </c>
      <c r="L1026" s="290" t="s">
        <v>4623</v>
      </c>
      <c r="M1026" s="290" t="s">
        <v>4623</v>
      </c>
      <c r="N1026" s="290" t="s">
        <v>4623</v>
      </c>
      <c r="O1026" s="290" t="s">
        <v>4792</v>
      </c>
      <c r="P1026" s="290" t="s">
        <v>999</v>
      </c>
      <c r="Q1026" s="291" t="s">
        <v>4623</v>
      </c>
      <c r="R1026" s="276"/>
      <c r="S1026" s="277">
        <f>IF(OR(C1026="",C1026=T$4),NA(),MATCH($B1026&amp;$C1026,'Smelter Reference List'!$J:$J,0))</f>
        <v>414</v>
      </c>
      <c r="T1026" s="278"/>
      <c r="U1026" s="278"/>
      <c r="V1026" s="278"/>
      <c r="W1026" s="278"/>
    </row>
    <row r="1027" spans="1:23" s="269" customFormat="1" ht="20.25">
      <c r="A1027" s="267"/>
      <c r="B1027" s="275" t="s">
        <v>2437</v>
      </c>
      <c r="C1027" s="275" t="s">
        <v>1500</v>
      </c>
      <c r="D1027" s="168" t="s">
        <v>1500</v>
      </c>
      <c r="E1027" s="168" t="s">
        <v>1861</v>
      </c>
      <c r="F1027" s="168" t="s">
        <v>1501</v>
      </c>
      <c r="G1027" s="168" t="s">
        <v>3324</v>
      </c>
      <c r="H1027" s="292" t="s">
        <v>4623</v>
      </c>
      <c r="I1027" s="293" t="s">
        <v>4623</v>
      </c>
      <c r="J1027" s="293" t="s">
        <v>4623</v>
      </c>
      <c r="K1027" s="290" t="s">
        <v>4623</v>
      </c>
      <c r="L1027" s="290" t="s">
        <v>4623</v>
      </c>
      <c r="M1027" s="290" t="s">
        <v>4623</v>
      </c>
      <c r="N1027" s="290" t="s">
        <v>4623</v>
      </c>
      <c r="O1027" s="290" t="s">
        <v>6348</v>
      </c>
      <c r="P1027" s="290" t="s">
        <v>999</v>
      </c>
      <c r="Q1027" s="291" t="s">
        <v>4623</v>
      </c>
      <c r="R1027" s="276"/>
      <c r="S1027" s="277">
        <f>IF(OR(C1027="",C1027=T$4),NA(),MATCH($B1027&amp;$C1027,'Smelter Reference List'!$J:$J,0))</f>
        <v>416</v>
      </c>
      <c r="T1027" s="278"/>
      <c r="U1027" s="278"/>
      <c r="V1027" s="278"/>
      <c r="W1027" s="278"/>
    </row>
    <row r="1028" spans="1:23" s="269" customFormat="1" ht="20.25">
      <c r="A1028" s="267"/>
      <c r="B1028" s="275" t="s">
        <v>2437</v>
      </c>
      <c r="C1028" s="275" t="s">
        <v>3831</v>
      </c>
      <c r="D1028" s="168" t="s">
        <v>4825</v>
      </c>
      <c r="E1028" s="168" t="s">
        <v>2257</v>
      </c>
      <c r="F1028" s="168" t="s">
        <v>4623</v>
      </c>
      <c r="G1028" s="168" t="s">
        <v>4623</v>
      </c>
      <c r="H1028" s="292" t="s">
        <v>4623</v>
      </c>
      <c r="I1028" s="293" t="s">
        <v>4623</v>
      </c>
      <c r="J1028" s="293" t="s">
        <v>4623</v>
      </c>
      <c r="K1028" s="290" t="s">
        <v>4623</v>
      </c>
      <c r="L1028" s="290" t="s">
        <v>4623</v>
      </c>
      <c r="M1028" s="290" t="s">
        <v>4623</v>
      </c>
      <c r="N1028" s="290" t="s">
        <v>4623</v>
      </c>
      <c r="O1028" s="290" t="s">
        <v>4623</v>
      </c>
      <c r="P1028" s="290" t="s">
        <v>999</v>
      </c>
      <c r="Q1028" s="291" t="s">
        <v>4623</v>
      </c>
      <c r="R1028" s="276"/>
      <c r="S1028" s="277">
        <f>IF(OR(C1028="",C1028=T$4),NA(),MATCH($B1028&amp;$C1028,'Smelter Reference List'!$J:$J,0))</f>
        <v>442</v>
      </c>
      <c r="T1028" s="278"/>
      <c r="U1028" s="278"/>
      <c r="V1028" s="278"/>
      <c r="W1028" s="278"/>
    </row>
    <row r="1029" spans="1:23" s="269" customFormat="1" ht="20.25">
      <c r="A1029" s="267"/>
      <c r="B1029" s="275" t="s">
        <v>2437</v>
      </c>
      <c r="C1029" s="275" t="s">
        <v>3831</v>
      </c>
      <c r="D1029" s="168" t="s">
        <v>6349</v>
      </c>
      <c r="E1029" s="168" t="s">
        <v>2313</v>
      </c>
      <c r="F1029" s="168" t="s">
        <v>4623</v>
      </c>
      <c r="G1029" s="168" t="s">
        <v>4623</v>
      </c>
      <c r="H1029" s="292" t="s">
        <v>4623</v>
      </c>
      <c r="I1029" s="293" t="s">
        <v>4623</v>
      </c>
      <c r="J1029" s="293" t="s">
        <v>4623</v>
      </c>
      <c r="K1029" s="290" t="s">
        <v>4623</v>
      </c>
      <c r="L1029" s="290" t="s">
        <v>4623</v>
      </c>
      <c r="M1029" s="290" t="s">
        <v>4623</v>
      </c>
      <c r="N1029" s="290" t="s">
        <v>4623</v>
      </c>
      <c r="O1029" s="290" t="s">
        <v>4623</v>
      </c>
      <c r="P1029" s="290" t="s">
        <v>999</v>
      </c>
      <c r="Q1029" s="291" t="s">
        <v>4623</v>
      </c>
      <c r="R1029" s="276"/>
      <c r="S1029" s="277">
        <f>IF(OR(C1029="",C1029=T$4),NA(),MATCH($B1029&amp;$C1029,'Smelter Reference List'!$J:$J,0))</f>
        <v>442</v>
      </c>
      <c r="T1029" s="278"/>
      <c r="U1029" s="278"/>
      <c r="V1029" s="278"/>
      <c r="W1029" s="278"/>
    </row>
    <row r="1030" spans="1:23" s="269" customFormat="1" ht="20.25">
      <c r="A1030" s="267"/>
      <c r="B1030" s="275" t="s">
        <v>2437</v>
      </c>
      <c r="C1030" s="275" t="s">
        <v>3831</v>
      </c>
      <c r="D1030" s="168" t="s">
        <v>6350</v>
      </c>
      <c r="E1030" s="168" t="s">
        <v>2264</v>
      </c>
      <c r="F1030" s="168" t="s">
        <v>4623</v>
      </c>
      <c r="G1030" s="168" t="s">
        <v>4623</v>
      </c>
      <c r="H1030" s="292" t="s">
        <v>4623</v>
      </c>
      <c r="I1030" s="293" t="s">
        <v>4623</v>
      </c>
      <c r="J1030" s="293" t="s">
        <v>4623</v>
      </c>
      <c r="K1030" s="290" t="s">
        <v>4623</v>
      </c>
      <c r="L1030" s="290" t="s">
        <v>4623</v>
      </c>
      <c r="M1030" s="290" t="s">
        <v>4623</v>
      </c>
      <c r="N1030" s="290" t="s">
        <v>4623</v>
      </c>
      <c r="O1030" s="290" t="s">
        <v>4623</v>
      </c>
      <c r="P1030" s="290" t="s">
        <v>999</v>
      </c>
      <c r="Q1030" s="291" t="s">
        <v>4623</v>
      </c>
      <c r="R1030" s="276"/>
      <c r="S1030" s="277">
        <f>IF(OR(C1030="",C1030=T$4),NA(),MATCH($B1030&amp;$C1030,'Smelter Reference List'!$J:$J,0))</f>
        <v>442</v>
      </c>
      <c r="T1030" s="278"/>
      <c r="U1030" s="278"/>
      <c r="V1030" s="278"/>
      <c r="W1030" s="278"/>
    </row>
    <row r="1031" spans="1:23" s="269" customFormat="1" ht="20.25">
      <c r="A1031" s="267"/>
      <c r="B1031" s="275" t="s">
        <v>2437</v>
      </c>
      <c r="C1031" s="275" t="s">
        <v>3831</v>
      </c>
      <c r="D1031" s="168" t="s">
        <v>6351</v>
      </c>
      <c r="E1031" s="168" t="s">
        <v>2261</v>
      </c>
      <c r="F1031" s="168" t="s">
        <v>4623</v>
      </c>
      <c r="G1031" s="168" t="s">
        <v>4623</v>
      </c>
      <c r="H1031" s="292" t="s">
        <v>6352</v>
      </c>
      <c r="I1031" s="293" t="s">
        <v>6353</v>
      </c>
      <c r="J1031" s="293" t="s">
        <v>4623</v>
      </c>
      <c r="K1031" s="290" t="s">
        <v>4623</v>
      </c>
      <c r="L1031" s="290" t="s">
        <v>6354</v>
      </c>
      <c r="M1031" s="290" t="s">
        <v>4623</v>
      </c>
      <c r="N1031" s="290" t="s">
        <v>4633</v>
      </c>
      <c r="O1031" s="290" t="s">
        <v>4623</v>
      </c>
      <c r="P1031" s="290" t="s">
        <v>999</v>
      </c>
      <c r="Q1031" s="291" t="s">
        <v>4623</v>
      </c>
      <c r="R1031" s="276"/>
      <c r="S1031" s="277">
        <f>IF(OR(C1031="",C1031=T$4),NA(),MATCH($B1031&amp;$C1031,'Smelter Reference List'!$J:$J,0))</f>
        <v>442</v>
      </c>
      <c r="T1031" s="278"/>
      <c r="U1031" s="278"/>
      <c r="V1031" s="278"/>
      <c r="W1031" s="278"/>
    </row>
    <row r="1032" spans="1:23" s="269" customFormat="1" ht="20.25">
      <c r="A1032" s="267"/>
      <c r="B1032" s="275" t="s">
        <v>2437</v>
      </c>
      <c r="C1032" s="275" t="s">
        <v>3831</v>
      </c>
      <c r="D1032" s="168" t="s">
        <v>6355</v>
      </c>
      <c r="E1032" s="168" t="s">
        <v>2261</v>
      </c>
      <c r="F1032" s="168" t="s">
        <v>4623</v>
      </c>
      <c r="G1032" s="168" t="s">
        <v>4623</v>
      </c>
      <c r="H1032" s="292" t="s">
        <v>4623</v>
      </c>
      <c r="I1032" s="293" t="s">
        <v>4623</v>
      </c>
      <c r="J1032" s="293" t="s">
        <v>4623</v>
      </c>
      <c r="K1032" s="290" t="s">
        <v>4623</v>
      </c>
      <c r="L1032" s="290" t="s">
        <v>4623</v>
      </c>
      <c r="M1032" s="290" t="s">
        <v>4623</v>
      </c>
      <c r="N1032" s="290" t="s">
        <v>4623</v>
      </c>
      <c r="O1032" s="290" t="s">
        <v>4623</v>
      </c>
      <c r="P1032" s="290" t="s">
        <v>999</v>
      </c>
      <c r="Q1032" s="291" t="s">
        <v>4623</v>
      </c>
      <c r="R1032" s="276"/>
      <c r="S1032" s="277">
        <f>IF(OR(C1032="",C1032=T$4),NA(),MATCH($B1032&amp;$C1032,'Smelter Reference List'!$J:$J,0))</f>
        <v>442</v>
      </c>
      <c r="T1032" s="278"/>
      <c r="U1032" s="278"/>
      <c r="V1032" s="278"/>
      <c r="W1032" s="278"/>
    </row>
    <row r="1033" spans="1:23" s="269" customFormat="1" ht="20.25">
      <c r="A1033" s="267"/>
      <c r="B1033" s="275" t="s">
        <v>2437</v>
      </c>
      <c r="C1033" s="275" t="s">
        <v>3831</v>
      </c>
      <c r="D1033" s="168" t="s">
        <v>6356</v>
      </c>
      <c r="E1033" s="168" t="s">
        <v>2267</v>
      </c>
      <c r="F1033" s="168" t="s">
        <v>4623</v>
      </c>
      <c r="G1033" s="168" t="s">
        <v>4623</v>
      </c>
      <c r="H1033" s="292" t="s">
        <v>6357</v>
      </c>
      <c r="I1033" s="293" t="s">
        <v>6358</v>
      </c>
      <c r="J1033" s="293" t="s">
        <v>4623</v>
      </c>
      <c r="K1033" s="290" t="s">
        <v>4623</v>
      </c>
      <c r="L1033" s="290" t="s">
        <v>4623</v>
      </c>
      <c r="M1033" s="290" t="s">
        <v>4623</v>
      </c>
      <c r="N1033" s="290" t="s">
        <v>4623</v>
      </c>
      <c r="O1033" s="290" t="s">
        <v>4623</v>
      </c>
      <c r="P1033" s="290" t="s">
        <v>999</v>
      </c>
      <c r="Q1033" s="291" t="s">
        <v>4623</v>
      </c>
      <c r="R1033" s="276"/>
      <c r="S1033" s="277">
        <f>IF(OR(C1033="",C1033=T$4),NA(),MATCH($B1033&amp;$C1033,'Smelter Reference List'!$J:$J,0))</f>
        <v>442</v>
      </c>
      <c r="T1033" s="278"/>
      <c r="U1033" s="278"/>
      <c r="V1033" s="278"/>
      <c r="W1033" s="278"/>
    </row>
    <row r="1034" spans="1:23" s="269" customFormat="1" ht="20.25">
      <c r="A1034" s="267"/>
      <c r="B1034" s="275" t="s">
        <v>2437</v>
      </c>
      <c r="C1034" s="275" t="s">
        <v>3831</v>
      </c>
      <c r="D1034" s="168" t="s">
        <v>6359</v>
      </c>
      <c r="E1034" s="168" t="s">
        <v>2267</v>
      </c>
      <c r="F1034" s="168" t="s">
        <v>4623</v>
      </c>
      <c r="G1034" s="168" t="s">
        <v>4623</v>
      </c>
      <c r="H1034" s="292" t="s">
        <v>4623</v>
      </c>
      <c r="I1034" s="293" t="s">
        <v>4623</v>
      </c>
      <c r="J1034" s="293" t="s">
        <v>4623</v>
      </c>
      <c r="K1034" s="290" t="s">
        <v>4623</v>
      </c>
      <c r="L1034" s="290" t="s">
        <v>4623</v>
      </c>
      <c r="M1034" s="290" t="s">
        <v>4623</v>
      </c>
      <c r="N1034" s="290" t="s">
        <v>4623</v>
      </c>
      <c r="O1034" s="290" t="s">
        <v>4623</v>
      </c>
      <c r="P1034" s="290" t="s">
        <v>999</v>
      </c>
      <c r="Q1034" s="291" t="s">
        <v>4623</v>
      </c>
      <c r="R1034" s="276"/>
      <c r="S1034" s="277">
        <f>IF(OR(C1034="",C1034=T$4),NA(),MATCH($B1034&amp;$C1034,'Smelter Reference List'!$J:$J,0))</f>
        <v>442</v>
      </c>
      <c r="T1034" s="278"/>
      <c r="U1034" s="278"/>
      <c r="V1034" s="278"/>
      <c r="W1034" s="278"/>
    </row>
    <row r="1035" spans="1:23" s="269" customFormat="1" ht="20.25">
      <c r="A1035" s="267"/>
      <c r="B1035" s="275" t="s">
        <v>2437</v>
      </c>
      <c r="C1035" s="275" t="s">
        <v>3831</v>
      </c>
      <c r="D1035" s="168" t="s">
        <v>6360</v>
      </c>
      <c r="E1035" s="168" t="s">
        <v>2267</v>
      </c>
      <c r="F1035" s="168" t="s">
        <v>4623</v>
      </c>
      <c r="G1035" s="168" t="s">
        <v>4623</v>
      </c>
      <c r="H1035" s="292" t="s">
        <v>4623</v>
      </c>
      <c r="I1035" s="293" t="s">
        <v>4623</v>
      </c>
      <c r="J1035" s="293" t="s">
        <v>4623</v>
      </c>
      <c r="K1035" s="290" t="s">
        <v>4623</v>
      </c>
      <c r="L1035" s="290" t="s">
        <v>4623</v>
      </c>
      <c r="M1035" s="290" t="s">
        <v>4623</v>
      </c>
      <c r="N1035" s="290" t="s">
        <v>4623</v>
      </c>
      <c r="O1035" s="290" t="s">
        <v>4623</v>
      </c>
      <c r="P1035" s="290" t="s">
        <v>999</v>
      </c>
      <c r="Q1035" s="291" t="s">
        <v>4623</v>
      </c>
      <c r="R1035" s="276"/>
      <c r="S1035" s="277">
        <f>IF(OR(C1035="",C1035=T$4),NA(),MATCH($B1035&amp;$C1035,'Smelter Reference List'!$J:$J,0))</f>
        <v>442</v>
      </c>
      <c r="T1035" s="278"/>
      <c r="U1035" s="278"/>
      <c r="V1035" s="278"/>
      <c r="W1035" s="278"/>
    </row>
    <row r="1036" spans="1:23" s="269" customFormat="1" ht="20.25">
      <c r="A1036" s="267"/>
      <c r="B1036" s="275" t="s">
        <v>2437</v>
      </c>
      <c r="C1036" s="275" t="s">
        <v>3831</v>
      </c>
      <c r="D1036" s="168" t="s">
        <v>6361</v>
      </c>
      <c r="E1036" s="168" t="s">
        <v>2267</v>
      </c>
      <c r="F1036" s="168" t="s">
        <v>4623</v>
      </c>
      <c r="G1036" s="168" t="s">
        <v>4623</v>
      </c>
      <c r="H1036" s="292" t="s">
        <v>4623</v>
      </c>
      <c r="I1036" s="293" t="s">
        <v>4623</v>
      </c>
      <c r="J1036" s="293" t="s">
        <v>4623</v>
      </c>
      <c r="K1036" s="290" t="s">
        <v>4623</v>
      </c>
      <c r="L1036" s="290" t="s">
        <v>4623</v>
      </c>
      <c r="M1036" s="290" t="s">
        <v>4623</v>
      </c>
      <c r="N1036" s="290" t="s">
        <v>4623</v>
      </c>
      <c r="O1036" s="290" t="s">
        <v>4623</v>
      </c>
      <c r="P1036" s="290" t="s">
        <v>999</v>
      </c>
      <c r="Q1036" s="291" t="s">
        <v>4623</v>
      </c>
      <c r="R1036" s="276"/>
      <c r="S1036" s="277">
        <f>IF(OR(C1036="",C1036=T$4),NA(),MATCH($B1036&amp;$C1036,'Smelter Reference List'!$J:$J,0))</f>
        <v>442</v>
      </c>
      <c r="T1036" s="278"/>
      <c r="U1036" s="278"/>
      <c r="V1036" s="278"/>
      <c r="W1036" s="278"/>
    </row>
    <row r="1037" spans="1:23" s="269" customFormat="1" ht="20.25">
      <c r="A1037" s="267"/>
      <c r="B1037" s="275" t="s">
        <v>2437</v>
      </c>
      <c r="C1037" s="275" t="s">
        <v>3831</v>
      </c>
      <c r="D1037" s="168" t="s">
        <v>6362</v>
      </c>
      <c r="E1037" s="168" t="s">
        <v>2267</v>
      </c>
      <c r="F1037" s="168" t="s">
        <v>4623</v>
      </c>
      <c r="G1037" s="168" t="s">
        <v>4623</v>
      </c>
      <c r="H1037" s="292" t="s">
        <v>6363</v>
      </c>
      <c r="I1037" s="293" t="s">
        <v>6364</v>
      </c>
      <c r="J1037" s="293" t="s">
        <v>6365</v>
      </c>
      <c r="K1037" s="290" t="s">
        <v>6366</v>
      </c>
      <c r="L1037" s="290" t="s">
        <v>6367</v>
      </c>
      <c r="M1037" s="290" t="s">
        <v>4623</v>
      </c>
      <c r="N1037" s="290" t="s">
        <v>4623</v>
      </c>
      <c r="O1037" s="290" t="s">
        <v>6368</v>
      </c>
      <c r="P1037" s="290" t="s">
        <v>999</v>
      </c>
      <c r="Q1037" s="291" t="s">
        <v>4623</v>
      </c>
      <c r="R1037" s="276"/>
      <c r="S1037" s="277">
        <f>IF(OR(C1037="",C1037=T$4),NA(),MATCH($B1037&amp;$C1037,'Smelter Reference List'!$J:$J,0))</f>
        <v>442</v>
      </c>
      <c r="T1037" s="278"/>
      <c r="U1037" s="278"/>
      <c r="V1037" s="278"/>
      <c r="W1037" s="278"/>
    </row>
    <row r="1038" spans="1:23" s="269" customFormat="1" ht="20.25">
      <c r="A1038" s="267"/>
      <c r="B1038" s="275" t="s">
        <v>2437</v>
      </c>
      <c r="C1038" s="275" t="s">
        <v>3831</v>
      </c>
      <c r="D1038" s="168" t="s">
        <v>6369</v>
      </c>
      <c r="E1038" s="168" t="s">
        <v>2267</v>
      </c>
      <c r="F1038" s="168" t="s">
        <v>4623</v>
      </c>
      <c r="G1038" s="168" t="s">
        <v>4623</v>
      </c>
      <c r="H1038" s="292" t="s">
        <v>4623</v>
      </c>
      <c r="I1038" s="293" t="s">
        <v>4623</v>
      </c>
      <c r="J1038" s="293" t="s">
        <v>4623</v>
      </c>
      <c r="K1038" s="290" t="s">
        <v>4623</v>
      </c>
      <c r="L1038" s="290" t="s">
        <v>4623</v>
      </c>
      <c r="M1038" s="290" t="s">
        <v>4623</v>
      </c>
      <c r="N1038" s="290" t="s">
        <v>4623</v>
      </c>
      <c r="O1038" s="290" t="s">
        <v>4623</v>
      </c>
      <c r="P1038" s="290" t="s">
        <v>999</v>
      </c>
      <c r="Q1038" s="291" t="s">
        <v>4623</v>
      </c>
      <c r="R1038" s="276"/>
      <c r="S1038" s="277">
        <f>IF(OR(C1038="",C1038=T$4),NA(),MATCH($B1038&amp;$C1038,'Smelter Reference List'!$J:$J,0))</f>
        <v>442</v>
      </c>
      <c r="T1038" s="278"/>
      <c r="U1038" s="278"/>
      <c r="V1038" s="278"/>
      <c r="W1038" s="278"/>
    </row>
    <row r="1039" spans="1:23" s="269" customFormat="1" ht="20.25">
      <c r="A1039" s="267"/>
      <c r="B1039" s="275" t="s">
        <v>2437</v>
      </c>
      <c r="C1039" s="275" t="s">
        <v>3831</v>
      </c>
      <c r="D1039" s="168" t="s">
        <v>6370</v>
      </c>
      <c r="E1039" s="168" t="s">
        <v>2267</v>
      </c>
      <c r="F1039" s="168" t="s">
        <v>4623</v>
      </c>
      <c r="G1039" s="168" t="s">
        <v>4623</v>
      </c>
      <c r="H1039" s="292" t="s">
        <v>6371</v>
      </c>
      <c r="I1039" s="293" t="s">
        <v>6372</v>
      </c>
      <c r="J1039" s="293" t="s">
        <v>6373</v>
      </c>
      <c r="K1039" s="290" t="s">
        <v>4623</v>
      </c>
      <c r="L1039" s="290" t="s">
        <v>4623</v>
      </c>
      <c r="M1039" s="290" t="s">
        <v>4623</v>
      </c>
      <c r="N1039" s="290" t="s">
        <v>4623</v>
      </c>
      <c r="O1039" s="290" t="s">
        <v>4623</v>
      </c>
      <c r="P1039" s="290" t="s">
        <v>999</v>
      </c>
      <c r="Q1039" s="291" t="s">
        <v>4623</v>
      </c>
      <c r="R1039" s="276"/>
      <c r="S1039" s="277">
        <f>IF(OR(C1039="",C1039=T$4),NA(),MATCH($B1039&amp;$C1039,'Smelter Reference List'!$J:$J,0))</f>
        <v>442</v>
      </c>
      <c r="T1039" s="278"/>
      <c r="U1039" s="278"/>
      <c r="V1039" s="278"/>
      <c r="W1039" s="278"/>
    </row>
    <row r="1040" spans="1:23" s="269" customFormat="1" ht="20.25">
      <c r="A1040" s="267"/>
      <c r="B1040" s="275" t="s">
        <v>2437</v>
      </c>
      <c r="C1040" s="275" t="s">
        <v>3831</v>
      </c>
      <c r="D1040" s="168" t="s">
        <v>6374</v>
      </c>
      <c r="E1040" s="168" t="s">
        <v>2267</v>
      </c>
      <c r="F1040" s="168" t="s">
        <v>4623</v>
      </c>
      <c r="G1040" s="168" t="s">
        <v>4623</v>
      </c>
      <c r="H1040" s="292" t="s">
        <v>4623</v>
      </c>
      <c r="I1040" s="293" t="s">
        <v>4623</v>
      </c>
      <c r="J1040" s="293" t="s">
        <v>4623</v>
      </c>
      <c r="K1040" s="290" t="s">
        <v>4623</v>
      </c>
      <c r="L1040" s="290" t="s">
        <v>4623</v>
      </c>
      <c r="M1040" s="290" t="s">
        <v>4623</v>
      </c>
      <c r="N1040" s="290" t="s">
        <v>4623</v>
      </c>
      <c r="O1040" s="290" t="s">
        <v>4623</v>
      </c>
      <c r="P1040" s="290" t="s">
        <v>999</v>
      </c>
      <c r="Q1040" s="291" t="s">
        <v>4623</v>
      </c>
      <c r="R1040" s="276"/>
      <c r="S1040" s="277">
        <f>IF(OR(C1040="",C1040=T$4),NA(),MATCH($B1040&amp;$C1040,'Smelter Reference List'!$J:$J,0))</f>
        <v>442</v>
      </c>
      <c r="T1040" s="278"/>
      <c r="U1040" s="278"/>
      <c r="V1040" s="278"/>
      <c r="W1040" s="278"/>
    </row>
    <row r="1041" spans="1:23" s="269" customFormat="1" ht="20.25">
      <c r="A1041" s="267"/>
      <c r="B1041" s="275" t="s">
        <v>2437</v>
      </c>
      <c r="C1041" s="275" t="s">
        <v>3831</v>
      </c>
      <c r="D1041" s="168" t="s">
        <v>6375</v>
      </c>
      <c r="E1041" s="168" t="s">
        <v>2268</v>
      </c>
      <c r="F1041" s="168" t="s">
        <v>4623</v>
      </c>
      <c r="G1041" s="168" t="s">
        <v>4623</v>
      </c>
      <c r="H1041" s="292" t="s">
        <v>4623</v>
      </c>
      <c r="I1041" s="293" t="s">
        <v>4623</v>
      </c>
      <c r="J1041" s="293" t="s">
        <v>4623</v>
      </c>
      <c r="K1041" s="290" t="s">
        <v>4623</v>
      </c>
      <c r="L1041" s="290" t="s">
        <v>4623</v>
      </c>
      <c r="M1041" s="290" t="s">
        <v>4623</v>
      </c>
      <c r="N1041" s="290" t="s">
        <v>4623</v>
      </c>
      <c r="O1041" s="290" t="s">
        <v>4623</v>
      </c>
      <c r="P1041" s="290" t="s">
        <v>999</v>
      </c>
      <c r="Q1041" s="291" t="s">
        <v>4623</v>
      </c>
      <c r="R1041" s="276"/>
      <c r="S1041" s="277">
        <f>IF(OR(C1041="",C1041=T$4),NA(),MATCH($B1041&amp;$C1041,'Smelter Reference List'!$J:$J,0))</f>
        <v>442</v>
      </c>
      <c r="T1041" s="278"/>
      <c r="U1041" s="278"/>
      <c r="V1041" s="278"/>
      <c r="W1041" s="278"/>
    </row>
    <row r="1042" spans="1:23" s="269" customFormat="1" ht="20.25">
      <c r="A1042" s="267"/>
      <c r="B1042" s="275" t="s">
        <v>2437</v>
      </c>
      <c r="C1042" s="275" t="s">
        <v>3831</v>
      </c>
      <c r="D1042" s="168" t="s">
        <v>6376</v>
      </c>
      <c r="E1042" s="168" t="s">
        <v>2271</v>
      </c>
      <c r="F1042" s="168" t="s">
        <v>4623</v>
      </c>
      <c r="G1042" s="168" t="s">
        <v>4623</v>
      </c>
      <c r="H1042" s="292" t="s">
        <v>4623</v>
      </c>
      <c r="I1042" s="293" t="s">
        <v>4623</v>
      </c>
      <c r="J1042" s="293" t="s">
        <v>4623</v>
      </c>
      <c r="K1042" s="290" t="s">
        <v>4623</v>
      </c>
      <c r="L1042" s="290" t="s">
        <v>4623</v>
      </c>
      <c r="M1042" s="290" t="s">
        <v>6377</v>
      </c>
      <c r="N1042" s="290" t="s">
        <v>5000</v>
      </c>
      <c r="O1042" s="290" t="s">
        <v>5000</v>
      </c>
      <c r="P1042" s="290" t="s">
        <v>999</v>
      </c>
      <c r="Q1042" s="291" t="s">
        <v>4623</v>
      </c>
      <c r="R1042" s="276"/>
      <c r="S1042" s="277">
        <f>IF(OR(C1042="",C1042=T$4),NA(),MATCH($B1042&amp;$C1042,'Smelter Reference List'!$J:$J,0))</f>
        <v>442</v>
      </c>
      <c r="T1042" s="278"/>
      <c r="U1042" s="278"/>
      <c r="V1042" s="278"/>
      <c r="W1042" s="278"/>
    </row>
    <row r="1043" spans="1:23" s="269" customFormat="1" ht="20.25">
      <c r="A1043" s="267"/>
      <c r="B1043" s="275" t="s">
        <v>2437</v>
      </c>
      <c r="C1043" s="275" t="s">
        <v>3831</v>
      </c>
      <c r="D1043" s="168" t="s">
        <v>6378</v>
      </c>
      <c r="E1043" s="168" t="s">
        <v>2271</v>
      </c>
      <c r="F1043" s="168" t="s">
        <v>4623</v>
      </c>
      <c r="G1043" s="168" t="s">
        <v>4623</v>
      </c>
      <c r="H1043" s="292" t="s">
        <v>6379</v>
      </c>
      <c r="I1043" s="293" t="s">
        <v>6380</v>
      </c>
      <c r="J1043" s="293" t="s">
        <v>6381</v>
      </c>
      <c r="K1043" s="290" t="s">
        <v>4623</v>
      </c>
      <c r="L1043" s="290" t="s">
        <v>6382</v>
      </c>
      <c r="M1043" s="290" t="s">
        <v>4623</v>
      </c>
      <c r="N1043" s="290" t="s">
        <v>4623</v>
      </c>
      <c r="O1043" s="290" t="s">
        <v>4623</v>
      </c>
      <c r="P1043" s="290" t="s">
        <v>999</v>
      </c>
      <c r="Q1043" s="291" t="s">
        <v>4623</v>
      </c>
      <c r="R1043" s="276"/>
      <c r="S1043" s="277">
        <f>IF(OR(C1043="",C1043=T$4),NA(),MATCH($B1043&amp;$C1043,'Smelter Reference List'!$J:$J,0))</f>
        <v>442</v>
      </c>
      <c r="T1043" s="278"/>
      <c r="U1043" s="278"/>
      <c r="V1043" s="278"/>
      <c r="W1043" s="278"/>
    </row>
    <row r="1044" spans="1:23" s="269" customFormat="1" ht="20.25">
      <c r="A1044" s="267"/>
      <c r="B1044" s="275" t="s">
        <v>2437</v>
      </c>
      <c r="C1044" s="275" t="s">
        <v>3831</v>
      </c>
      <c r="D1044" s="168" t="s">
        <v>5101</v>
      </c>
      <c r="E1044" s="168" t="s">
        <v>2271</v>
      </c>
      <c r="F1044" s="168" t="s">
        <v>4623</v>
      </c>
      <c r="G1044" s="168" t="s">
        <v>4623</v>
      </c>
      <c r="H1044" s="292" t="s">
        <v>4623</v>
      </c>
      <c r="I1044" s="293" t="s">
        <v>4623</v>
      </c>
      <c r="J1044" s="293" t="s">
        <v>4623</v>
      </c>
      <c r="K1044" s="290" t="s">
        <v>4623</v>
      </c>
      <c r="L1044" s="290" t="s">
        <v>4623</v>
      </c>
      <c r="M1044" s="290" t="s">
        <v>4623</v>
      </c>
      <c r="N1044" s="290" t="s">
        <v>4623</v>
      </c>
      <c r="O1044" s="290" t="s">
        <v>4623</v>
      </c>
      <c r="P1044" s="290" t="s">
        <v>999</v>
      </c>
      <c r="Q1044" s="291" t="s">
        <v>4623</v>
      </c>
      <c r="R1044" s="276"/>
      <c r="S1044" s="277">
        <f>IF(OR(C1044="",C1044=T$4),NA(),MATCH($B1044&amp;$C1044,'Smelter Reference List'!$J:$J,0))</f>
        <v>442</v>
      </c>
      <c r="T1044" s="278"/>
      <c r="U1044" s="278"/>
      <c r="V1044" s="278"/>
      <c r="W1044" s="278"/>
    </row>
    <row r="1045" spans="1:23" s="269" customFormat="1" ht="20.25">
      <c r="A1045" s="267"/>
      <c r="B1045" s="275" t="s">
        <v>2437</v>
      </c>
      <c r="C1045" s="275" t="s">
        <v>3831</v>
      </c>
      <c r="D1045" s="168" t="s">
        <v>6383</v>
      </c>
      <c r="E1045" s="168" t="s">
        <v>2271</v>
      </c>
      <c r="F1045" s="168" t="s">
        <v>4623</v>
      </c>
      <c r="G1045" s="168" t="s">
        <v>4623</v>
      </c>
      <c r="H1045" s="292" t="s">
        <v>4853</v>
      </c>
      <c r="I1045" s="293" t="s">
        <v>4811</v>
      </c>
      <c r="J1045" s="293" t="s">
        <v>4812</v>
      </c>
      <c r="K1045" s="290" t="s">
        <v>6384</v>
      </c>
      <c r="L1045" s="290" t="s">
        <v>4854</v>
      </c>
      <c r="M1045" s="290" t="s">
        <v>4628</v>
      </c>
      <c r="N1045" s="290" t="s">
        <v>4628</v>
      </c>
      <c r="O1045" s="290" t="s">
        <v>6385</v>
      </c>
      <c r="P1045" s="290" t="s">
        <v>999</v>
      </c>
      <c r="Q1045" s="291" t="s">
        <v>4623</v>
      </c>
      <c r="R1045" s="276"/>
      <c r="S1045" s="277">
        <f>IF(OR(C1045="",C1045=T$4),NA(),MATCH($B1045&amp;$C1045,'Smelter Reference List'!$J:$J,0))</f>
        <v>442</v>
      </c>
      <c r="T1045" s="278"/>
      <c r="U1045" s="278"/>
      <c r="V1045" s="278"/>
      <c r="W1045" s="278"/>
    </row>
    <row r="1046" spans="1:23" s="269" customFormat="1" ht="20.25">
      <c r="A1046" s="267"/>
      <c r="B1046" s="275" t="s">
        <v>2437</v>
      </c>
      <c r="C1046" s="275" t="s">
        <v>3831</v>
      </c>
      <c r="D1046" s="168" t="s">
        <v>6386</v>
      </c>
      <c r="E1046" s="168" t="s">
        <v>2271</v>
      </c>
      <c r="F1046" s="168" t="s">
        <v>4623</v>
      </c>
      <c r="G1046" s="168" t="s">
        <v>4623</v>
      </c>
      <c r="H1046" s="292" t="s">
        <v>4623</v>
      </c>
      <c r="I1046" s="293" t="s">
        <v>4623</v>
      </c>
      <c r="J1046" s="293" t="s">
        <v>4623</v>
      </c>
      <c r="K1046" s="290" t="s">
        <v>4623</v>
      </c>
      <c r="L1046" s="290" t="s">
        <v>4623</v>
      </c>
      <c r="M1046" s="290" t="s">
        <v>4623</v>
      </c>
      <c r="N1046" s="290" t="s">
        <v>4623</v>
      </c>
      <c r="O1046" s="290" t="s">
        <v>4623</v>
      </c>
      <c r="P1046" s="290" t="s">
        <v>999</v>
      </c>
      <c r="Q1046" s="291" t="s">
        <v>4623</v>
      </c>
      <c r="R1046" s="276"/>
      <c r="S1046" s="277">
        <f>IF(OR(C1046="",C1046=T$4),NA(),MATCH($B1046&amp;$C1046,'Smelter Reference List'!$J:$J,0))</f>
        <v>442</v>
      </c>
      <c r="T1046" s="278"/>
      <c r="U1046" s="278"/>
      <c r="V1046" s="278"/>
      <c r="W1046" s="278"/>
    </row>
    <row r="1047" spans="1:23" s="269" customFormat="1" ht="20.25">
      <c r="A1047" s="267"/>
      <c r="B1047" s="275" t="s">
        <v>2437</v>
      </c>
      <c r="C1047" s="275" t="s">
        <v>3831</v>
      </c>
      <c r="D1047" s="168" t="s">
        <v>6387</v>
      </c>
      <c r="E1047" s="168" t="s">
        <v>2271</v>
      </c>
      <c r="F1047" s="168" t="s">
        <v>4623</v>
      </c>
      <c r="G1047" s="168" t="s">
        <v>4623</v>
      </c>
      <c r="H1047" s="292" t="s">
        <v>4623</v>
      </c>
      <c r="I1047" s="293" t="s">
        <v>4623</v>
      </c>
      <c r="J1047" s="293" t="s">
        <v>4623</v>
      </c>
      <c r="K1047" s="290" t="s">
        <v>4623</v>
      </c>
      <c r="L1047" s="290" t="s">
        <v>4623</v>
      </c>
      <c r="M1047" s="290" t="s">
        <v>4623</v>
      </c>
      <c r="N1047" s="290" t="s">
        <v>4623</v>
      </c>
      <c r="O1047" s="290" t="s">
        <v>4623</v>
      </c>
      <c r="P1047" s="290" t="s">
        <v>999</v>
      </c>
      <c r="Q1047" s="291" t="s">
        <v>4623</v>
      </c>
      <c r="R1047" s="276"/>
      <c r="S1047" s="277">
        <f>IF(OR(C1047="",C1047=T$4),NA(),MATCH($B1047&amp;$C1047,'Smelter Reference List'!$J:$J,0))</f>
        <v>442</v>
      </c>
      <c r="T1047" s="278"/>
      <c r="U1047" s="278"/>
      <c r="V1047" s="278"/>
      <c r="W1047" s="278"/>
    </row>
    <row r="1048" spans="1:23" s="269" customFormat="1" ht="20.25">
      <c r="A1048" s="267"/>
      <c r="B1048" s="275" t="s">
        <v>2437</v>
      </c>
      <c r="C1048" s="275" t="s">
        <v>3831</v>
      </c>
      <c r="D1048" s="168" t="s">
        <v>6388</v>
      </c>
      <c r="E1048" s="168" t="s">
        <v>2271</v>
      </c>
      <c r="F1048" s="168" t="s">
        <v>4623</v>
      </c>
      <c r="G1048" s="168" t="s">
        <v>4623</v>
      </c>
      <c r="H1048" s="292" t="s">
        <v>4623</v>
      </c>
      <c r="I1048" s="293" t="s">
        <v>4812</v>
      </c>
      <c r="J1048" s="293" t="s">
        <v>4812</v>
      </c>
      <c r="K1048" s="290" t="s">
        <v>4623</v>
      </c>
      <c r="L1048" s="290" t="s">
        <v>4623</v>
      </c>
      <c r="M1048" s="290" t="s">
        <v>4623</v>
      </c>
      <c r="N1048" s="290" t="s">
        <v>4623</v>
      </c>
      <c r="O1048" s="290" t="s">
        <v>4623</v>
      </c>
      <c r="P1048" s="290" t="s">
        <v>999</v>
      </c>
      <c r="Q1048" s="291" t="s">
        <v>4623</v>
      </c>
      <c r="R1048" s="276"/>
      <c r="S1048" s="277">
        <f>IF(OR(C1048="",C1048=T$4),NA(),MATCH($B1048&amp;$C1048,'Smelter Reference List'!$J:$J,0))</f>
        <v>442</v>
      </c>
      <c r="T1048" s="278"/>
      <c r="U1048" s="278"/>
      <c r="V1048" s="278"/>
      <c r="W1048" s="278"/>
    </row>
    <row r="1049" spans="1:23" s="269" customFormat="1" ht="20.25">
      <c r="A1049" s="267"/>
      <c r="B1049" s="275" t="s">
        <v>2437</v>
      </c>
      <c r="C1049" s="275" t="s">
        <v>3831</v>
      </c>
      <c r="D1049" s="168" t="s">
        <v>6389</v>
      </c>
      <c r="E1049" s="168" t="s">
        <v>2271</v>
      </c>
      <c r="F1049" s="168" t="s">
        <v>4623</v>
      </c>
      <c r="G1049" s="168" t="s">
        <v>4623</v>
      </c>
      <c r="H1049" s="292" t="s">
        <v>4623</v>
      </c>
      <c r="I1049" s="293" t="s">
        <v>4623</v>
      </c>
      <c r="J1049" s="293" t="s">
        <v>4623</v>
      </c>
      <c r="K1049" s="290" t="s">
        <v>4623</v>
      </c>
      <c r="L1049" s="290" t="s">
        <v>4623</v>
      </c>
      <c r="M1049" s="290" t="s">
        <v>4623</v>
      </c>
      <c r="N1049" s="290" t="s">
        <v>4623</v>
      </c>
      <c r="O1049" s="290" t="s">
        <v>4623</v>
      </c>
      <c r="P1049" s="290" t="s">
        <v>999</v>
      </c>
      <c r="Q1049" s="291" t="s">
        <v>4623</v>
      </c>
      <c r="R1049" s="276"/>
      <c r="S1049" s="277">
        <f>IF(OR(C1049="",C1049=T$4),NA(),MATCH($B1049&amp;$C1049,'Smelter Reference List'!$J:$J,0))</f>
        <v>442</v>
      </c>
      <c r="T1049" s="278"/>
      <c r="U1049" s="278"/>
      <c r="V1049" s="278"/>
      <c r="W1049" s="278"/>
    </row>
    <row r="1050" spans="1:23" s="269" customFormat="1" ht="20.25">
      <c r="A1050" s="267"/>
      <c r="B1050" s="275" t="s">
        <v>2437</v>
      </c>
      <c r="C1050" s="275" t="s">
        <v>3831</v>
      </c>
      <c r="D1050" s="168" t="s">
        <v>6390</v>
      </c>
      <c r="E1050" s="168" t="s">
        <v>2282</v>
      </c>
      <c r="F1050" s="168" t="s">
        <v>4623</v>
      </c>
      <c r="G1050" s="168" t="s">
        <v>4623</v>
      </c>
      <c r="H1050" s="292" t="s">
        <v>4623</v>
      </c>
      <c r="I1050" s="293" t="s">
        <v>4623</v>
      </c>
      <c r="J1050" s="293" t="s">
        <v>4623</v>
      </c>
      <c r="K1050" s="290" t="s">
        <v>4623</v>
      </c>
      <c r="L1050" s="290" t="s">
        <v>4623</v>
      </c>
      <c r="M1050" s="290" t="s">
        <v>4623</v>
      </c>
      <c r="N1050" s="290" t="s">
        <v>4623</v>
      </c>
      <c r="O1050" s="290" t="s">
        <v>4623</v>
      </c>
      <c r="P1050" s="290" t="s">
        <v>999</v>
      </c>
      <c r="Q1050" s="291" t="s">
        <v>6391</v>
      </c>
      <c r="R1050" s="276"/>
      <c r="S1050" s="277">
        <f>IF(OR(C1050="",C1050=T$4),NA(),MATCH($B1050&amp;$C1050,'Smelter Reference List'!$J:$J,0))</f>
        <v>442</v>
      </c>
      <c r="T1050" s="278"/>
      <c r="U1050" s="278"/>
      <c r="V1050" s="278"/>
      <c r="W1050" s="278"/>
    </row>
    <row r="1051" spans="1:23" s="269" customFormat="1" ht="20.25">
      <c r="A1051" s="267"/>
      <c r="B1051" s="275" t="s">
        <v>2437</v>
      </c>
      <c r="C1051" s="275" t="s">
        <v>3831</v>
      </c>
      <c r="D1051" s="168" t="s">
        <v>6392</v>
      </c>
      <c r="E1051" s="168" t="s">
        <v>2282</v>
      </c>
      <c r="F1051" s="168" t="s">
        <v>4623</v>
      </c>
      <c r="G1051" s="168" t="s">
        <v>4623</v>
      </c>
      <c r="H1051" s="292" t="s">
        <v>6393</v>
      </c>
      <c r="I1051" s="293" t="s">
        <v>4623</v>
      </c>
      <c r="J1051" s="293" t="s">
        <v>4623</v>
      </c>
      <c r="K1051" s="290" t="s">
        <v>6394</v>
      </c>
      <c r="L1051" s="290" t="s">
        <v>6395</v>
      </c>
      <c r="M1051" s="290" t="s">
        <v>4623</v>
      </c>
      <c r="N1051" s="290" t="s">
        <v>4623</v>
      </c>
      <c r="O1051" s="290" t="s">
        <v>4623</v>
      </c>
      <c r="P1051" s="290" t="s">
        <v>999</v>
      </c>
      <c r="Q1051" s="291" t="s">
        <v>4623</v>
      </c>
      <c r="R1051" s="276"/>
      <c r="S1051" s="277">
        <f>IF(OR(C1051="",C1051=T$4),NA(),MATCH($B1051&amp;$C1051,'Smelter Reference List'!$J:$J,0))</f>
        <v>442</v>
      </c>
      <c r="T1051" s="278"/>
      <c r="U1051" s="278"/>
      <c r="V1051" s="278"/>
      <c r="W1051" s="278"/>
    </row>
    <row r="1052" spans="1:23" s="269" customFormat="1" ht="20.25">
      <c r="A1052" s="267"/>
      <c r="B1052" s="275" t="s">
        <v>2437</v>
      </c>
      <c r="C1052" s="275" t="s">
        <v>3831</v>
      </c>
      <c r="D1052" s="168" t="s">
        <v>6396</v>
      </c>
      <c r="E1052" s="168" t="s">
        <v>2282</v>
      </c>
      <c r="F1052" s="168" t="s">
        <v>4623</v>
      </c>
      <c r="G1052" s="168" t="s">
        <v>4623</v>
      </c>
      <c r="H1052" s="292" t="s">
        <v>4623</v>
      </c>
      <c r="I1052" s="293" t="s">
        <v>4623</v>
      </c>
      <c r="J1052" s="293" t="s">
        <v>4623</v>
      </c>
      <c r="K1052" s="290" t="s">
        <v>4623</v>
      </c>
      <c r="L1052" s="290" t="s">
        <v>4623</v>
      </c>
      <c r="M1052" s="290" t="s">
        <v>4623</v>
      </c>
      <c r="N1052" s="290" t="s">
        <v>4623</v>
      </c>
      <c r="O1052" s="290" t="s">
        <v>4623</v>
      </c>
      <c r="P1052" s="290" t="s">
        <v>999</v>
      </c>
      <c r="Q1052" s="291" t="s">
        <v>4623</v>
      </c>
      <c r="R1052" s="276"/>
      <c r="S1052" s="277">
        <f>IF(OR(C1052="",C1052=T$4),NA(),MATCH($B1052&amp;$C1052,'Smelter Reference List'!$J:$J,0))</f>
        <v>442</v>
      </c>
      <c r="T1052" s="278"/>
      <c r="U1052" s="278"/>
      <c r="V1052" s="278"/>
      <c r="W1052" s="278"/>
    </row>
    <row r="1053" spans="1:23" s="269" customFormat="1" ht="20.25">
      <c r="A1053" s="267"/>
      <c r="B1053" s="275" t="s">
        <v>2437</v>
      </c>
      <c r="C1053" s="275" t="s">
        <v>3831</v>
      </c>
      <c r="D1053" s="168" t="s">
        <v>6397</v>
      </c>
      <c r="E1053" s="168" t="s">
        <v>2282</v>
      </c>
      <c r="F1053" s="168" t="s">
        <v>4623</v>
      </c>
      <c r="G1053" s="168" t="s">
        <v>4623</v>
      </c>
      <c r="H1053" s="292" t="s">
        <v>4623</v>
      </c>
      <c r="I1053" s="293" t="s">
        <v>4623</v>
      </c>
      <c r="J1053" s="293" t="s">
        <v>4623</v>
      </c>
      <c r="K1053" s="290" t="s">
        <v>4623</v>
      </c>
      <c r="L1053" s="290" t="s">
        <v>4623</v>
      </c>
      <c r="M1053" s="290" t="s">
        <v>4623</v>
      </c>
      <c r="N1053" s="290" t="s">
        <v>4623</v>
      </c>
      <c r="O1053" s="290" t="s">
        <v>4623</v>
      </c>
      <c r="P1053" s="290" t="s">
        <v>999</v>
      </c>
      <c r="Q1053" s="291" t="s">
        <v>4623</v>
      </c>
      <c r="R1053" s="276"/>
      <c r="S1053" s="277">
        <f>IF(OR(C1053="",C1053=T$4),NA(),MATCH($B1053&amp;$C1053,'Smelter Reference List'!$J:$J,0))</f>
        <v>442</v>
      </c>
      <c r="T1053" s="278"/>
      <c r="U1053" s="278"/>
      <c r="V1053" s="278"/>
      <c r="W1053" s="278"/>
    </row>
    <row r="1054" spans="1:23" s="269" customFormat="1" ht="20.25">
      <c r="A1054" s="267"/>
      <c r="B1054" s="275" t="s">
        <v>2437</v>
      </c>
      <c r="C1054" s="275" t="s">
        <v>3831</v>
      </c>
      <c r="D1054" s="168" t="s">
        <v>6398</v>
      </c>
      <c r="E1054" s="168" t="s">
        <v>2282</v>
      </c>
      <c r="F1054" s="168" t="s">
        <v>4623</v>
      </c>
      <c r="G1054" s="168" t="s">
        <v>4623</v>
      </c>
      <c r="H1054" s="292" t="s">
        <v>4623</v>
      </c>
      <c r="I1054" s="293" t="s">
        <v>4623</v>
      </c>
      <c r="J1054" s="293" t="s">
        <v>4623</v>
      </c>
      <c r="K1054" s="290" t="s">
        <v>4623</v>
      </c>
      <c r="L1054" s="290" t="s">
        <v>4623</v>
      </c>
      <c r="M1054" s="290" t="s">
        <v>4623</v>
      </c>
      <c r="N1054" s="290" t="s">
        <v>4623</v>
      </c>
      <c r="O1054" s="290" t="s">
        <v>4623</v>
      </c>
      <c r="P1054" s="290" t="s">
        <v>999</v>
      </c>
      <c r="Q1054" s="291" t="s">
        <v>4623</v>
      </c>
      <c r="R1054" s="276"/>
      <c r="S1054" s="277">
        <f>IF(OR(C1054="",C1054=T$4),NA(),MATCH($B1054&amp;$C1054,'Smelter Reference List'!$J:$J,0))</f>
        <v>442</v>
      </c>
      <c r="T1054" s="278"/>
      <c r="U1054" s="278"/>
      <c r="V1054" s="278"/>
      <c r="W1054" s="278"/>
    </row>
    <row r="1055" spans="1:23" s="269" customFormat="1" ht="20.25">
      <c r="A1055" s="267"/>
      <c r="B1055" s="275" t="s">
        <v>2437</v>
      </c>
      <c r="C1055" s="275" t="s">
        <v>3831</v>
      </c>
      <c r="D1055" s="168" t="s">
        <v>6399</v>
      </c>
      <c r="E1055" s="168" t="s">
        <v>2282</v>
      </c>
      <c r="F1055" s="168" t="s">
        <v>4623</v>
      </c>
      <c r="G1055" s="168" t="s">
        <v>4623</v>
      </c>
      <c r="H1055" s="292" t="s">
        <v>6400</v>
      </c>
      <c r="I1055" s="293" t="s">
        <v>6401</v>
      </c>
      <c r="J1055" s="293" t="s">
        <v>4868</v>
      </c>
      <c r="K1055" s="290" t="s">
        <v>4623</v>
      </c>
      <c r="L1055" s="290" t="s">
        <v>4623</v>
      </c>
      <c r="M1055" s="290" t="s">
        <v>4804</v>
      </c>
      <c r="N1055" s="290" t="s">
        <v>6402</v>
      </c>
      <c r="O1055" s="290" t="s">
        <v>4623</v>
      </c>
      <c r="P1055" s="290" t="s">
        <v>999</v>
      </c>
      <c r="Q1055" s="291" t="s">
        <v>4623</v>
      </c>
      <c r="R1055" s="276"/>
      <c r="S1055" s="277">
        <f>IF(OR(C1055="",C1055=T$4),NA(),MATCH($B1055&amp;$C1055,'Smelter Reference List'!$J:$J,0))</f>
        <v>442</v>
      </c>
      <c r="T1055" s="278"/>
      <c r="U1055" s="278"/>
      <c r="V1055" s="278"/>
      <c r="W1055" s="278"/>
    </row>
    <row r="1056" spans="1:23" s="269" customFormat="1" ht="20.25">
      <c r="A1056" s="267"/>
      <c r="B1056" s="275" t="s">
        <v>2437</v>
      </c>
      <c r="C1056" s="275" t="s">
        <v>3831</v>
      </c>
      <c r="D1056" s="168" t="s">
        <v>6403</v>
      </c>
      <c r="E1056" s="168" t="s">
        <v>2282</v>
      </c>
      <c r="F1056" s="168" t="s">
        <v>4623</v>
      </c>
      <c r="G1056" s="168" t="s">
        <v>4623</v>
      </c>
      <c r="H1056" s="292" t="s">
        <v>4623</v>
      </c>
      <c r="I1056" s="293" t="s">
        <v>4623</v>
      </c>
      <c r="J1056" s="293" t="s">
        <v>4623</v>
      </c>
      <c r="K1056" s="290" t="s">
        <v>4623</v>
      </c>
      <c r="L1056" s="290" t="s">
        <v>4623</v>
      </c>
      <c r="M1056" s="290" t="s">
        <v>4623</v>
      </c>
      <c r="N1056" s="290" t="s">
        <v>4623</v>
      </c>
      <c r="O1056" s="290" t="s">
        <v>4623</v>
      </c>
      <c r="P1056" s="290" t="s">
        <v>999</v>
      </c>
      <c r="Q1056" s="291" t="s">
        <v>4623</v>
      </c>
      <c r="R1056" s="276"/>
      <c r="S1056" s="277">
        <f>IF(OR(C1056="",C1056=T$4),NA(),MATCH($B1056&amp;$C1056,'Smelter Reference List'!$J:$J,0))</f>
        <v>442</v>
      </c>
      <c r="T1056" s="278"/>
      <c r="U1056" s="278"/>
      <c r="V1056" s="278"/>
      <c r="W1056" s="278"/>
    </row>
    <row r="1057" spans="1:23" s="269" customFormat="1" ht="20.25">
      <c r="A1057" s="267"/>
      <c r="B1057" s="275" t="s">
        <v>2437</v>
      </c>
      <c r="C1057" s="275" t="s">
        <v>3831</v>
      </c>
      <c r="D1057" s="168" t="s">
        <v>6404</v>
      </c>
      <c r="E1057" s="168" t="s">
        <v>2282</v>
      </c>
      <c r="F1057" s="168" t="s">
        <v>4623</v>
      </c>
      <c r="G1057" s="168" t="s">
        <v>4623</v>
      </c>
      <c r="H1057" s="292" t="s">
        <v>4623</v>
      </c>
      <c r="I1057" s="293" t="s">
        <v>4623</v>
      </c>
      <c r="J1057" s="293" t="s">
        <v>4623</v>
      </c>
      <c r="K1057" s="290" t="s">
        <v>4623</v>
      </c>
      <c r="L1057" s="290" t="s">
        <v>4623</v>
      </c>
      <c r="M1057" s="290" t="s">
        <v>4623</v>
      </c>
      <c r="N1057" s="290" t="s">
        <v>4623</v>
      </c>
      <c r="O1057" s="290" t="s">
        <v>4623</v>
      </c>
      <c r="P1057" s="290" t="s">
        <v>999</v>
      </c>
      <c r="Q1057" s="291" t="s">
        <v>4623</v>
      </c>
      <c r="R1057" s="276"/>
      <c r="S1057" s="277">
        <f>IF(OR(C1057="",C1057=T$4),NA(),MATCH($B1057&amp;$C1057,'Smelter Reference List'!$J:$J,0))</f>
        <v>442</v>
      </c>
      <c r="T1057" s="278"/>
      <c r="U1057" s="278"/>
      <c r="V1057" s="278"/>
      <c r="W1057" s="278"/>
    </row>
    <row r="1058" spans="1:23" s="269" customFormat="1" ht="20.25">
      <c r="A1058" s="267"/>
      <c r="B1058" s="275" t="s">
        <v>2437</v>
      </c>
      <c r="C1058" s="275" t="s">
        <v>3831</v>
      </c>
      <c r="D1058" s="168" t="s">
        <v>6405</v>
      </c>
      <c r="E1058" s="168" t="s">
        <v>2283</v>
      </c>
      <c r="F1058" s="168" t="s">
        <v>4623</v>
      </c>
      <c r="G1058" s="168" t="s">
        <v>4623</v>
      </c>
      <c r="H1058" s="292" t="s">
        <v>4623</v>
      </c>
      <c r="I1058" s="293" t="s">
        <v>6406</v>
      </c>
      <c r="J1058" s="293" t="s">
        <v>6407</v>
      </c>
      <c r="K1058" s="290" t="s">
        <v>6408</v>
      </c>
      <c r="L1058" s="290" t="s">
        <v>6409</v>
      </c>
      <c r="M1058" s="290" t="s">
        <v>4623</v>
      </c>
      <c r="N1058" s="290" t="s">
        <v>4628</v>
      </c>
      <c r="O1058" s="290" t="s">
        <v>4628</v>
      </c>
      <c r="P1058" s="290" t="s">
        <v>999</v>
      </c>
      <c r="Q1058" s="291" t="s">
        <v>4623</v>
      </c>
      <c r="R1058" s="276"/>
      <c r="S1058" s="277">
        <f>IF(OR(C1058="",C1058=T$4),NA(),MATCH($B1058&amp;$C1058,'Smelter Reference List'!$J:$J,0))</f>
        <v>442</v>
      </c>
      <c r="T1058" s="278"/>
      <c r="U1058" s="278"/>
      <c r="V1058" s="278"/>
      <c r="W1058" s="278"/>
    </row>
    <row r="1059" spans="1:23" s="269" customFormat="1" ht="20.25">
      <c r="A1059" s="267"/>
      <c r="B1059" s="275" t="s">
        <v>2437</v>
      </c>
      <c r="C1059" s="275" t="s">
        <v>3831</v>
      </c>
      <c r="D1059" s="168" t="s">
        <v>6410</v>
      </c>
      <c r="E1059" s="168" t="s">
        <v>2283</v>
      </c>
      <c r="F1059" s="168" t="s">
        <v>4623</v>
      </c>
      <c r="G1059" s="168" t="s">
        <v>4623</v>
      </c>
      <c r="H1059" s="292" t="s">
        <v>4623</v>
      </c>
      <c r="I1059" s="293" t="s">
        <v>4873</v>
      </c>
      <c r="J1059" s="293" t="s">
        <v>6411</v>
      </c>
      <c r="K1059" s="290" t="s">
        <v>4623</v>
      </c>
      <c r="L1059" s="290" t="s">
        <v>6412</v>
      </c>
      <c r="M1059" s="290" t="s">
        <v>4623</v>
      </c>
      <c r="N1059" s="290" t="s">
        <v>4623</v>
      </c>
      <c r="O1059" s="290" t="s">
        <v>4623</v>
      </c>
      <c r="P1059" s="290" t="s">
        <v>999</v>
      </c>
      <c r="Q1059" s="291" t="s">
        <v>4623</v>
      </c>
      <c r="R1059" s="276"/>
      <c r="S1059" s="277">
        <f>IF(OR(C1059="",C1059=T$4),NA(),MATCH($B1059&amp;$C1059,'Smelter Reference List'!$J:$J,0))</f>
        <v>442</v>
      </c>
      <c r="T1059" s="278"/>
      <c r="U1059" s="278"/>
      <c r="V1059" s="278"/>
      <c r="W1059" s="278"/>
    </row>
    <row r="1060" spans="1:23" s="269" customFormat="1" ht="20.25">
      <c r="A1060" s="267"/>
      <c r="B1060" s="275" t="s">
        <v>2437</v>
      </c>
      <c r="C1060" s="275" t="s">
        <v>3831</v>
      </c>
      <c r="D1060" s="168" t="s">
        <v>6413</v>
      </c>
      <c r="E1060" s="168" t="s">
        <v>2283</v>
      </c>
      <c r="F1060" s="168" t="s">
        <v>4623</v>
      </c>
      <c r="G1060" s="168" t="s">
        <v>4623</v>
      </c>
      <c r="H1060" s="292" t="s">
        <v>4623</v>
      </c>
      <c r="I1060" s="293" t="s">
        <v>4623</v>
      </c>
      <c r="J1060" s="293" t="s">
        <v>4623</v>
      </c>
      <c r="K1060" s="290" t="s">
        <v>4623</v>
      </c>
      <c r="L1060" s="290" t="s">
        <v>4623</v>
      </c>
      <c r="M1060" s="290" t="s">
        <v>4623</v>
      </c>
      <c r="N1060" s="290" t="s">
        <v>4623</v>
      </c>
      <c r="O1060" s="290" t="s">
        <v>4623</v>
      </c>
      <c r="P1060" s="290" t="s">
        <v>999</v>
      </c>
      <c r="Q1060" s="291" t="s">
        <v>4623</v>
      </c>
      <c r="R1060" s="276"/>
      <c r="S1060" s="277">
        <f>IF(OR(C1060="",C1060=T$4),NA(),MATCH($B1060&amp;$C1060,'Smelter Reference List'!$J:$J,0))</f>
        <v>442</v>
      </c>
      <c r="T1060" s="278"/>
      <c r="U1060" s="278"/>
      <c r="V1060" s="278"/>
      <c r="W1060" s="278"/>
    </row>
    <row r="1061" spans="1:23" s="269" customFormat="1" ht="20.25">
      <c r="A1061" s="267"/>
      <c r="B1061" s="275" t="s">
        <v>2437</v>
      </c>
      <c r="C1061" s="275" t="s">
        <v>3831</v>
      </c>
      <c r="D1061" s="168" t="s">
        <v>6414</v>
      </c>
      <c r="E1061" s="168" t="s">
        <v>2283</v>
      </c>
      <c r="F1061" s="168" t="s">
        <v>4623</v>
      </c>
      <c r="G1061" s="168" t="s">
        <v>4623</v>
      </c>
      <c r="H1061" s="292" t="s">
        <v>3665</v>
      </c>
      <c r="I1061" s="293" t="s">
        <v>3676</v>
      </c>
      <c r="J1061" s="293" t="s">
        <v>6415</v>
      </c>
      <c r="K1061" s="290" t="s">
        <v>6416</v>
      </c>
      <c r="L1061" s="290" t="s">
        <v>4623</v>
      </c>
      <c r="M1061" s="290" t="s">
        <v>4623</v>
      </c>
      <c r="N1061" s="290" t="s">
        <v>4623</v>
      </c>
      <c r="O1061" s="290" t="s">
        <v>4623</v>
      </c>
      <c r="P1061" s="290" t="s">
        <v>999</v>
      </c>
      <c r="Q1061" s="291" t="s">
        <v>4623</v>
      </c>
      <c r="R1061" s="276"/>
      <c r="S1061" s="277">
        <f>IF(OR(C1061="",C1061=T$4),NA(),MATCH($B1061&amp;$C1061,'Smelter Reference List'!$J:$J,0))</f>
        <v>442</v>
      </c>
      <c r="T1061" s="278"/>
      <c r="U1061" s="278"/>
      <c r="V1061" s="278"/>
      <c r="W1061" s="278"/>
    </row>
    <row r="1062" spans="1:23" s="269" customFormat="1" ht="20.25">
      <c r="A1062" s="267"/>
      <c r="B1062" s="275" t="s">
        <v>2437</v>
      </c>
      <c r="C1062" s="275" t="s">
        <v>3831</v>
      </c>
      <c r="D1062" s="168" t="s">
        <v>6417</v>
      </c>
      <c r="E1062" s="168" t="s">
        <v>2283</v>
      </c>
      <c r="F1062" s="168" t="s">
        <v>4623</v>
      </c>
      <c r="G1062" s="168" t="s">
        <v>4623</v>
      </c>
      <c r="H1062" s="292" t="s">
        <v>4623</v>
      </c>
      <c r="I1062" s="293" t="s">
        <v>4623</v>
      </c>
      <c r="J1062" s="293" t="s">
        <v>4623</v>
      </c>
      <c r="K1062" s="290" t="s">
        <v>4623</v>
      </c>
      <c r="L1062" s="290" t="s">
        <v>4623</v>
      </c>
      <c r="M1062" s="290" t="s">
        <v>4623</v>
      </c>
      <c r="N1062" s="290" t="s">
        <v>4623</v>
      </c>
      <c r="O1062" s="290" t="s">
        <v>4623</v>
      </c>
      <c r="P1062" s="290" t="s">
        <v>999</v>
      </c>
      <c r="Q1062" s="291" t="s">
        <v>4623</v>
      </c>
      <c r="R1062" s="276"/>
      <c r="S1062" s="277">
        <f>IF(OR(C1062="",C1062=T$4),NA(),MATCH($B1062&amp;$C1062,'Smelter Reference List'!$J:$J,0))</f>
        <v>442</v>
      </c>
      <c r="T1062" s="278"/>
      <c r="U1062" s="278"/>
      <c r="V1062" s="278"/>
      <c r="W1062" s="278"/>
    </row>
    <row r="1063" spans="1:23" s="269" customFormat="1" ht="20.25">
      <c r="A1063" s="267"/>
      <c r="B1063" s="275" t="s">
        <v>2437</v>
      </c>
      <c r="C1063" s="275" t="s">
        <v>3831</v>
      </c>
      <c r="D1063" s="168" t="s">
        <v>6418</v>
      </c>
      <c r="E1063" s="168" t="s">
        <v>2283</v>
      </c>
      <c r="F1063" s="168" t="s">
        <v>4623</v>
      </c>
      <c r="G1063" s="168" t="s">
        <v>4623</v>
      </c>
      <c r="H1063" s="292" t="s">
        <v>4623</v>
      </c>
      <c r="I1063" s="293" t="s">
        <v>4623</v>
      </c>
      <c r="J1063" s="293" t="s">
        <v>4623</v>
      </c>
      <c r="K1063" s="290" t="s">
        <v>4623</v>
      </c>
      <c r="L1063" s="290" t="s">
        <v>4623</v>
      </c>
      <c r="M1063" s="290" t="s">
        <v>4623</v>
      </c>
      <c r="N1063" s="290" t="s">
        <v>4623</v>
      </c>
      <c r="O1063" s="290" t="s">
        <v>4623</v>
      </c>
      <c r="P1063" s="290" t="s">
        <v>999</v>
      </c>
      <c r="Q1063" s="291" t="s">
        <v>4623</v>
      </c>
      <c r="R1063" s="276"/>
      <c r="S1063" s="277">
        <f>IF(OR(C1063="",C1063=T$4),NA(),MATCH($B1063&amp;$C1063,'Smelter Reference List'!$J:$J,0))</f>
        <v>442</v>
      </c>
      <c r="T1063" s="278"/>
      <c r="U1063" s="278"/>
      <c r="V1063" s="278"/>
      <c r="W1063" s="278"/>
    </row>
    <row r="1064" spans="1:23" s="269" customFormat="1" ht="20.25">
      <c r="A1064" s="267"/>
      <c r="B1064" s="275" t="s">
        <v>2437</v>
      </c>
      <c r="C1064" s="275" t="s">
        <v>3831</v>
      </c>
      <c r="D1064" s="168" t="s">
        <v>6419</v>
      </c>
      <c r="E1064" s="168" t="s">
        <v>2283</v>
      </c>
      <c r="F1064" s="168" t="s">
        <v>4623</v>
      </c>
      <c r="G1064" s="168" t="s">
        <v>4623</v>
      </c>
      <c r="H1064" s="292" t="s">
        <v>6420</v>
      </c>
      <c r="I1064" s="293" t="s">
        <v>3665</v>
      </c>
      <c r="J1064" s="293" t="s">
        <v>3676</v>
      </c>
      <c r="K1064" s="290" t="s">
        <v>6421</v>
      </c>
      <c r="L1064" s="290" t="s">
        <v>6422</v>
      </c>
      <c r="M1064" s="290" t="s">
        <v>4623</v>
      </c>
      <c r="N1064" s="290" t="s">
        <v>4623</v>
      </c>
      <c r="O1064" s="290" t="s">
        <v>4623</v>
      </c>
      <c r="P1064" s="290" t="s">
        <v>999</v>
      </c>
      <c r="Q1064" s="291" t="s">
        <v>4623</v>
      </c>
      <c r="R1064" s="276"/>
      <c r="S1064" s="277">
        <f>IF(OR(C1064="",C1064=T$4),NA(),MATCH($B1064&amp;$C1064,'Smelter Reference List'!$J:$J,0))</f>
        <v>442</v>
      </c>
      <c r="T1064" s="278"/>
      <c r="U1064" s="278"/>
      <c r="V1064" s="278"/>
      <c r="W1064" s="278"/>
    </row>
    <row r="1065" spans="1:23" s="269" customFormat="1" ht="20.25">
      <c r="A1065" s="267"/>
      <c r="B1065" s="275" t="s">
        <v>2437</v>
      </c>
      <c r="C1065" s="275" t="s">
        <v>3831</v>
      </c>
      <c r="D1065" s="168" t="s">
        <v>6423</v>
      </c>
      <c r="E1065" s="168" t="s">
        <v>2283</v>
      </c>
      <c r="F1065" s="168" t="s">
        <v>4623</v>
      </c>
      <c r="G1065" s="168" t="s">
        <v>4623</v>
      </c>
      <c r="H1065" s="292" t="s">
        <v>4623</v>
      </c>
      <c r="I1065" s="293" t="s">
        <v>4623</v>
      </c>
      <c r="J1065" s="293" t="s">
        <v>4623</v>
      </c>
      <c r="K1065" s="290" t="s">
        <v>4623</v>
      </c>
      <c r="L1065" s="290" t="s">
        <v>4623</v>
      </c>
      <c r="M1065" s="290" t="s">
        <v>4623</v>
      </c>
      <c r="N1065" s="290" t="s">
        <v>4623</v>
      </c>
      <c r="O1065" s="290" t="s">
        <v>4623</v>
      </c>
      <c r="P1065" s="290" t="s">
        <v>999</v>
      </c>
      <c r="Q1065" s="291" t="s">
        <v>4623</v>
      </c>
      <c r="R1065" s="276"/>
      <c r="S1065" s="277">
        <f>IF(OR(C1065="",C1065=T$4),NA(),MATCH($B1065&amp;$C1065,'Smelter Reference List'!$J:$J,0))</f>
        <v>442</v>
      </c>
      <c r="T1065" s="278"/>
      <c r="U1065" s="278"/>
      <c r="V1065" s="278"/>
      <c r="W1065" s="278"/>
    </row>
    <row r="1066" spans="1:23" s="269" customFormat="1" ht="20.25">
      <c r="A1066" s="267"/>
      <c r="B1066" s="275" t="s">
        <v>2437</v>
      </c>
      <c r="C1066" s="275" t="s">
        <v>3831</v>
      </c>
      <c r="D1066" s="168" t="s">
        <v>6424</v>
      </c>
      <c r="E1066" s="168" t="s">
        <v>2283</v>
      </c>
      <c r="F1066" s="168" t="s">
        <v>4623</v>
      </c>
      <c r="G1066" s="168" t="s">
        <v>4623</v>
      </c>
      <c r="H1066" s="292" t="s">
        <v>4623</v>
      </c>
      <c r="I1066" s="293" t="s">
        <v>4623</v>
      </c>
      <c r="J1066" s="293" t="s">
        <v>4623</v>
      </c>
      <c r="K1066" s="290" t="s">
        <v>4623</v>
      </c>
      <c r="L1066" s="290" t="s">
        <v>4623</v>
      </c>
      <c r="M1066" s="290" t="s">
        <v>4623</v>
      </c>
      <c r="N1066" s="290" t="s">
        <v>4623</v>
      </c>
      <c r="O1066" s="290" t="s">
        <v>4623</v>
      </c>
      <c r="P1066" s="290" t="s">
        <v>999</v>
      </c>
      <c r="Q1066" s="291" t="s">
        <v>4623</v>
      </c>
      <c r="R1066" s="276"/>
      <c r="S1066" s="277">
        <f>IF(OR(C1066="",C1066=T$4),NA(),MATCH($B1066&amp;$C1066,'Smelter Reference List'!$J:$J,0))</f>
        <v>442</v>
      </c>
      <c r="T1066" s="278"/>
      <c r="U1066" s="278"/>
      <c r="V1066" s="278"/>
      <c r="W1066" s="278"/>
    </row>
    <row r="1067" spans="1:23" s="269" customFormat="1" ht="20.25">
      <c r="A1067" s="267"/>
      <c r="B1067" s="275" t="s">
        <v>2437</v>
      </c>
      <c r="C1067" s="275" t="s">
        <v>3831</v>
      </c>
      <c r="D1067" s="168" t="s">
        <v>6351</v>
      </c>
      <c r="E1067" s="168" t="s">
        <v>2283</v>
      </c>
      <c r="F1067" s="168" t="s">
        <v>4623</v>
      </c>
      <c r="G1067" s="168" t="s">
        <v>4623</v>
      </c>
      <c r="H1067" s="292" t="s">
        <v>4623</v>
      </c>
      <c r="I1067" s="293" t="s">
        <v>4623</v>
      </c>
      <c r="J1067" s="293" t="s">
        <v>4623</v>
      </c>
      <c r="K1067" s="290" t="s">
        <v>4623</v>
      </c>
      <c r="L1067" s="290" t="s">
        <v>4623</v>
      </c>
      <c r="M1067" s="290" t="s">
        <v>4623</v>
      </c>
      <c r="N1067" s="290" t="s">
        <v>4623</v>
      </c>
      <c r="O1067" s="290" t="s">
        <v>4623</v>
      </c>
      <c r="P1067" s="290" t="s">
        <v>999</v>
      </c>
      <c r="Q1067" s="291" t="s">
        <v>4623</v>
      </c>
      <c r="R1067" s="276"/>
      <c r="S1067" s="277">
        <f>IF(OR(C1067="",C1067=T$4),NA(),MATCH($B1067&amp;$C1067,'Smelter Reference List'!$J:$J,0))</f>
        <v>442</v>
      </c>
      <c r="T1067" s="278"/>
      <c r="U1067" s="278"/>
      <c r="V1067" s="278"/>
      <c r="W1067" s="278"/>
    </row>
    <row r="1068" spans="1:23" s="269" customFormat="1" ht="20.25">
      <c r="A1068" s="267"/>
      <c r="B1068" s="275" t="s">
        <v>2437</v>
      </c>
      <c r="C1068" s="275" t="s">
        <v>3831</v>
      </c>
      <c r="D1068" s="168" t="s">
        <v>6425</v>
      </c>
      <c r="E1068" s="168" t="s">
        <v>2283</v>
      </c>
      <c r="F1068" s="168" t="s">
        <v>4623</v>
      </c>
      <c r="G1068" s="168" t="s">
        <v>4623</v>
      </c>
      <c r="H1068" s="292" t="s">
        <v>4623</v>
      </c>
      <c r="I1068" s="293" t="s">
        <v>4623</v>
      </c>
      <c r="J1068" s="293" t="s">
        <v>4623</v>
      </c>
      <c r="K1068" s="290" t="s">
        <v>4623</v>
      </c>
      <c r="L1068" s="290" t="s">
        <v>4623</v>
      </c>
      <c r="M1068" s="290" t="s">
        <v>4623</v>
      </c>
      <c r="N1068" s="290" t="s">
        <v>1005</v>
      </c>
      <c r="O1068" s="290" t="s">
        <v>4623</v>
      </c>
      <c r="P1068" s="290" t="s">
        <v>999</v>
      </c>
      <c r="Q1068" s="291" t="s">
        <v>4623</v>
      </c>
      <c r="R1068" s="276"/>
      <c r="S1068" s="277">
        <f>IF(OR(C1068="",C1068=T$4),NA(),MATCH($B1068&amp;$C1068,'Smelter Reference List'!$J:$J,0))</f>
        <v>442</v>
      </c>
      <c r="T1068" s="278"/>
      <c r="U1068" s="278"/>
      <c r="V1068" s="278"/>
      <c r="W1068" s="278"/>
    </row>
    <row r="1069" spans="1:23" s="269" customFormat="1" ht="20.25">
      <c r="A1069" s="267"/>
      <c r="B1069" s="275" t="s">
        <v>2437</v>
      </c>
      <c r="C1069" s="275" t="s">
        <v>3831</v>
      </c>
      <c r="D1069" s="168" t="s">
        <v>6426</v>
      </c>
      <c r="E1069" s="168" t="s">
        <v>2283</v>
      </c>
      <c r="F1069" s="168" t="s">
        <v>4623</v>
      </c>
      <c r="G1069" s="168" t="s">
        <v>4623</v>
      </c>
      <c r="H1069" s="292" t="s">
        <v>6427</v>
      </c>
      <c r="I1069" s="293" t="s">
        <v>6428</v>
      </c>
      <c r="J1069" s="293" t="s">
        <v>3523</v>
      </c>
      <c r="K1069" s="290" t="s">
        <v>6429</v>
      </c>
      <c r="L1069" s="290" t="s">
        <v>6430</v>
      </c>
      <c r="M1069" s="290" t="s">
        <v>4623</v>
      </c>
      <c r="N1069" s="290" t="s">
        <v>4623</v>
      </c>
      <c r="O1069" s="290" t="s">
        <v>4623</v>
      </c>
      <c r="P1069" s="290" t="s">
        <v>999</v>
      </c>
      <c r="Q1069" s="291" t="s">
        <v>4623</v>
      </c>
      <c r="R1069" s="276"/>
      <c r="S1069" s="277">
        <f>IF(OR(C1069="",C1069=T$4),NA(),MATCH($B1069&amp;$C1069,'Smelter Reference List'!$J:$J,0))</f>
        <v>442</v>
      </c>
      <c r="T1069" s="278"/>
      <c r="U1069" s="278"/>
      <c r="V1069" s="278"/>
      <c r="W1069" s="278"/>
    </row>
    <row r="1070" spans="1:23" s="269" customFormat="1" ht="20.25">
      <c r="A1070" s="267"/>
      <c r="B1070" s="275" t="s">
        <v>2437</v>
      </c>
      <c r="C1070" s="275" t="s">
        <v>3831</v>
      </c>
      <c r="D1070" s="168" t="s">
        <v>6431</v>
      </c>
      <c r="E1070" s="168" t="s">
        <v>2283</v>
      </c>
      <c r="F1070" s="168" t="s">
        <v>4623</v>
      </c>
      <c r="G1070" s="168" t="s">
        <v>4623</v>
      </c>
      <c r="H1070" s="292" t="s">
        <v>6432</v>
      </c>
      <c r="I1070" s="293" t="s">
        <v>6433</v>
      </c>
      <c r="J1070" s="293" t="s">
        <v>6434</v>
      </c>
      <c r="K1070" s="290" t="s">
        <v>6435</v>
      </c>
      <c r="L1070" s="290" t="s">
        <v>6436</v>
      </c>
      <c r="M1070" s="290" t="s">
        <v>5088</v>
      </c>
      <c r="N1070" s="290" t="s">
        <v>4623</v>
      </c>
      <c r="O1070" s="290" t="s">
        <v>4623</v>
      </c>
      <c r="P1070" s="290" t="s">
        <v>999</v>
      </c>
      <c r="Q1070" s="291" t="s">
        <v>4623</v>
      </c>
      <c r="R1070" s="276"/>
      <c r="S1070" s="277">
        <f>IF(OR(C1070="",C1070=T$4),NA(),MATCH($B1070&amp;$C1070,'Smelter Reference List'!$J:$J,0))</f>
        <v>442</v>
      </c>
      <c r="T1070" s="278"/>
      <c r="U1070" s="278"/>
      <c r="V1070" s="278"/>
      <c r="W1070" s="278"/>
    </row>
    <row r="1071" spans="1:23" s="269" customFormat="1" ht="20.25">
      <c r="A1071" s="267"/>
      <c r="B1071" s="275" t="s">
        <v>2437</v>
      </c>
      <c r="C1071" s="275" t="s">
        <v>3831</v>
      </c>
      <c r="D1071" s="168" t="s">
        <v>6437</v>
      </c>
      <c r="E1071" s="168" t="s">
        <v>2283</v>
      </c>
      <c r="F1071" s="168" t="s">
        <v>4623</v>
      </c>
      <c r="G1071" s="168" t="s">
        <v>4623</v>
      </c>
      <c r="H1071" s="292" t="s">
        <v>6438</v>
      </c>
      <c r="I1071" s="293" t="s">
        <v>6439</v>
      </c>
      <c r="J1071" s="293" t="s">
        <v>6440</v>
      </c>
      <c r="K1071" s="290" t="s">
        <v>6441</v>
      </c>
      <c r="L1071" s="290" t="s">
        <v>6442</v>
      </c>
      <c r="M1071" s="290" t="s">
        <v>4623</v>
      </c>
      <c r="N1071" s="290" t="s">
        <v>4628</v>
      </c>
      <c r="O1071" s="290" t="s">
        <v>4628</v>
      </c>
      <c r="P1071" s="290" t="s">
        <v>999</v>
      </c>
      <c r="Q1071" s="291" t="s">
        <v>4623</v>
      </c>
      <c r="R1071" s="276"/>
      <c r="S1071" s="277">
        <f>IF(OR(C1071="",C1071=T$4),NA(),MATCH($B1071&amp;$C1071,'Smelter Reference List'!$J:$J,0))</f>
        <v>442</v>
      </c>
      <c r="T1071" s="278"/>
      <c r="U1071" s="278"/>
      <c r="V1071" s="278"/>
      <c r="W1071" s="278"/>
    </row>
    <row r="1072" spans="1:23" s="269" customFormat="1" ht="20.25">
      <c r="A1072" s="267"/>
      <c r="B1072" s="275" t="s">
        <v>2437</v>
      </c>
      <c r="C1072" s="275" t="s">
        <v>3831</v>
      </c>
      <c r="D1072" s="168" t="s">
        <v>4878</v>
      </c>
      <c r="E1072" s="168" t="s">
        <v>2283</v>
      </c>
      <c r="F1072" s="168" t="s">
        <v>4623</v>
      </c>
      <c r="G1072" s="168" t="s">
        <v>4623</v>
      </c>
      <c r="H1072" s="292" t="s">
        <v>6443</v>
      </c>
      <c r="I1072" s="293" t="s">
        <v>6444</v>
      </c>
      <c r="J1072" s="293" t="s">
        <v>4638</v>
      </c>
      <c r="K1072" s="290" t="s">
        <v>4623</v>
      </c>
      <c r="L1072" s="290" t="s">
        <v>4623</v>
      </c>
      <c r="M1072" s="290" t="s">
        <v>4804</v>
      </c>
      <c r="N1072" s="290" t="s">
        <v>4623</v>
      </c>
      <c r="O1072" s="290" t="s">
        <v>4623</v>
      </c>
      <c r="P1072" s="290" t="s">
        <v>999</v>
      </c>
      <c r="Q1072" s="291" t="s">
        <v>4623</v>
      </c>
      <c r="R1072" s="276"/>
      <c r="S1072" s="277">
        <f>IF(OR(C1072="",C1072=T$4),NA(),MATCH($B1072&amp;$C1072,'Smelter Reference List'!$J:$J,0))</f>
        <v>442</v>
      </c>
      <c r="T1072" s="278"/>
      <c r="U1072" s="278"/>
      <c r="V1072" s="278"/>
      <c r="W1072" s="278"/>
    </row>
    <row r="1073" spans="1:23" s="269" customFormat="1" ht="20.25">
      <c r="A1073" s="267"/>
      <c r="B1073" s="275" t="s">
        <v>2437</v>
      </c>
      <c r="C1073" s="275" t="s">
        <v>3831</v>
      </c>
      <c r="D1073" s="168" t="s">
        <v>4879</v>
      </c>
      <c r="E1073" s="168" t="s">
        <v>2283</v>
      </c>
      <c r="F1073" s="168" t="s">
        <v>4623</v>
      </c>
      <c r="G1073" s="168" t="s">
        <v>4623</v>
      </c>
      <c r="H1073" s="292" t="s">
        <v>4623</v>
      </c>
      <c r="I1073" s="293" t="s">
        <v>4623</v>
      </c>
      <c r="J1073" s="293" t="s">
        <v>4623</v>
      </c>
      <c r="K1073" s="290" t="s">
        <v>6445</v>
      </c>
      <c r="L1073" s="290" t="s">
        <v>6446</v>
      </c>
      <c r="M1073" s="290" t="s">
        <v>4623</v>
      </c>
      <c r="N1073" s="290" t="s">
        <v>4623</v>
      </c>
      <c r="O1073" s="290" t="s">
        <v>4623</v>
      </c>
      <c r="P1073" s="290" t="s">
        <v>999</v>
      </c>
      <c r="Q1073" s="291" t="s">
        <v>4623</v>
      </c>
      <c r="R1073" s="276"/>
      <c r="S1073" s="277">
        <f>IF(OR(C1073="",C1073=T$4),NA(),MATCH($B1073&amp;$C1073,'Smelter Reference List'!$J:$J,0))</f>
        <v>442</v>
      </c>
      <c r="T1073" s="278"/>
      <c r="U1073" s="278"/>
      <c r="V1073" s="278"/>
      <c r="W1073" s="278"/>
    </row>
    <row r="1074" spans="1:23" s="269" customFormat="1" ht="20.25">
      <c r="A1074" s="267"/>
      <c r="B1074" s="275" t="s">
        <v>2437</v>
      </c>
      <c r="C1074" s="275" t="s">
        <v>3831</v>
      </c>
      <c r="D1074" s="168" t="s">
        <v>6447</v>
      </c>
      <c r="E1074" s="168" t="s">
        <v>2283</v>
      </c>
      <c r="F1074" s="168" t="s">
        <v>4623</v>
      </c>
      <c r="G1074" s="168" t="s">
        <v>4623</v>
      </c>
      <c r="H1074" s="292" t="s">
        <v>6448</v>
      </c>
      <c r="I1074" s="293" t="s">
        <v>6449</v>
      </c>
      <c r="J1074" s="293" t="s">
        <v>3523</v>
      </c>
      <c r="K1074" s="290" t="s">
        <v>4623</v>
      </c>
      <c r="L1074" s="290" t="s">
        <v>4623</v>
      </c>
      <c r="M1074" s="290" t="s">
        <v>4623</v>
      </c>
      <c r="N1074" s="290" t="s">
        <v>4623</v>
      </c>
      <c r="O1074" s="290" t="s">
        <v>4623</v>
      </c>
      <c r="P1074" s="290" t="s">
        <v>999</v>
      </c>
      <c r="Q1074" s="291" t="s">
        <v>4623</v>
      </c>
      <c r="R1074" s="276"/>
      <c r="S1074" s="277">
        <f>IF(OR(C1074="",C1074=T$4),NA(),MATCH($B1074&amp;$C1074,'Smelter Reference List'!$J:$J,0))</f>
        <v>442</v>
      </c>
      <c r="T1074" s="278"/>
      <c r="U1074" s="278"/>
      <c r="V1074" s="278"/>
      <c r="W1074" s="278"/>
    </row>
    <row r="1075" spans="1:23" s="269" customFormat="1" ht="20.25">
      <c r="A1075" s="267"/>
      <c r="B1075" s="275" t="s">
        <v>2437</v>
      </c>
      <c r="C1075" s="275" t="s">
        <v>3831</v>
      </c>
      <c r="D1075" s="168" t="s">
        <v>6450</v>
      </c>
      <c r="E1075" s="168" t="s">
        <v>2283</v>
      </c>
      <c r="F1075" s="168" t="s">
        <v>4623</v>
      </c>
      <c r="G1075" s="168" t="s">
        <v>4623</v>
      </c>
      <c r="H1075" s="292" t="s">
        <v>6451</v>
      </c>
      <c r="I1075" s="293" t="s">
        <v>6452</v>
      </c>
      <c r="J1075" s="293" t="s">
        <v>6440</v>
      </c>
      <c r="K1075" s="290" t="s">
        <v>6453</v>
      </c>
      <c r="L1075" s="290" t="s">
        <v>6454</v>
      </c>
      <c r="M1075" s="290" t="s">
        <v>4623</v>
      </c>
      <c r="N1075" s="290" t="s">
        <v>6316</v>
      </c>
      <c r="O1075" s="290" t="s">
        <v>6316</v>
      </c>
      <c r="P1075" s="290" t="s">
        <v>999</v>
      </c>
      <c r="Q1075" s="291" t="s">
        <v>4623</v>
      </c>
      <c r="R1075" s="276"/>
      <c r="S1075" s="277">
        <f>IF(OR(C1075="",C1075=T$4),NA(),MATCH($B1075&amp;$C1075,'Smelter Reference List'!$J:$J,0))</f>
        <v>442</v>
      </c>
      <c r="T1075" s="278"/>
      <c r="U1075" s="278"/>
      <c r="V1075" s="278"/>
      <c r="W1075" s="278"/>
    </row>
    <row r="1076" spans="1:23" s="269" customFormat="1" ht="20.25">
      <c r="A1076" s="267"/>
      <c r="B1076" s="275" t="s">
        <v>2437</v>
      </c>
      <c r="C1076" s="275" t="s">
        <v>3831</v>
      </c>
      <c r="D1076" s="168" t="s">
        <v>6455</v>
      </c>
      <c r="E1076" s="168" t="s">
        <v>2283</v>
      </c>
      <c r="F1076" s="168" t="s">
        <v>4623</v>
      </c>
      <c r="G1076" s="168" t="s">
        <v>4623</v>
      </c>
      <c r="H1076" s="292" t="s">
        <v>4623</v>
      </c>
      <c r="I1076" s="293" t="s">
        <v>4623</v>
      </c>
      <c r="J1076" s="293" t="s">
        <v>4623</v>
      </c>
      <c r="K1076" s="290" t="s">
        <v>4623</v>
      </c>
      <c r="L1076" s="290" t="s">
        <v>4623</v>
      </c>
      <c r="M1076" s="290" t="s">
        <v>4623</v>
      </c>
      <c r="N1076" s="290" t="s">
        <v>4623</v>
      </c>
      <c r="O1076" s="290" t="s">
        <v>4623</v>
      </c>
      <c r="P1076" s="290" t="s">
        <v>999</v>
      </c>
      <c r="Q1076" s="291" t="s">
        <v>4623</v>
      </c>
      <c r="R1076" s="276"/>
      <c r="S1076" s="277">
        <f>IF(OR(C1076="",C1076=T$4),NA(),MATCH($B1076&amp;$C1076,'Smelter Reference List'!$J:$J,0))</f>
        <v>442</v>
      </c>
      <c r="T1076" s="278"/>
      <c r="U1076" s="278"/>
      <c r="V1076" s="278"/>
      <c r="W1076" s="278"/>
    </row>
    <row r="1077" spans="1:23" s="269" customFormat="1" ht="20.25">
      <c r="A1077" s="267"/>
      <c r="B1077" s="275" t="s">
        <v>2437</v>
      </c>
      <c r="C1077" s="275" t="s">
        <v>3831</v>
      </c>
      <c r="D1077" s="168" t="s">
        <v>6456</v>
      </c>
      <c r="E1077" s="168" t="s">
        <v>2283</v>
      </c>
      <c r="F1077" s="168" t="s">
        <v>4623</v>
      </c>
      <c r="G1077" s="168" t="s">
        <v>4623</v>
      </c>
      <c r="H1077" s="292" t="s">
        <v>4623</v>
      </c>
      <c r="I1077" s="293" t="s">
        <v>4623</v>
      </c>
      <c r="J1077" s="293" t="s">
        <v>4623</v>
      </c>
      <c r="K1077" s="290" t="s">
        <v>4623</v>
      </c>
      <c r="L1077" s="290" t="s">
        <v>4623</v>
      </c>
      <c r="M1077" s="290" t="s">
        <v>4623</v>
      </c>
      <c r="N1077" s="290" t="s">
        <v>4623</v>
      </c>
      <c r="O1077" s="290" t="s">
        <v>4623</v>
      </c>
      <c r="P1077" s="290" t="s">
        <v>999</v>
      </c>
      <c r="Q1077" s="291" t="s">
        <v>4623</v>
      </c>
      <c r="R1077" s="276"/>
      <c r="S1077" s="277">
        <f>IF(OR(C1077="",C1077=T$4),NA(),MATCH($B1077&amp;$C1077,'Smelter Reference List'!$J:$J,0))</f>
        <v>442</v>
      </c>
      <c r="T1077" s="278"/>
      <c r="U1077" s="278"/>
      <c r="V1077" s="278"/>
      <c r="W1077" s="278"/>
    </row>
    <row r="1078" spans="1:23" s="269" customFormat="1" ht="20.25">
      <c r="A1078" s="267"/>
      <c r="B1078" s="275" t="s">
        <v>2437</v>
      </c>
      <c r="C1078" s="275" t="s">
        <v>3831</v>
      </c>
      <c r="D1078" s="168" t="s">
        <v>6457</v>
      </c>
      <c r="E1078" s="168" t="s">
        <v>2283</v>
      </c>
      <c r="F1078" s="168" t="s">
        <v>4623</v>
      </c>
      <c r="G1078" s="168" t="s">
        <v>4623</v>
      </c>
      <c r="H1078" s="292" t="s">
        <v>4623</v>
      </c>
      <c r="I1078" s="293" t="s">
        <v>4623</v>
      </c>
      <c r="J1078" s="293" t="s">
        <v>4623</v>
      </c>
      <c r="K1078" s="290" t="s">
        <v>4623</v>
      </c>
      <c r="L1078" s="290" t="s">
        <v>4623</v>
      </c>
      <c r="M1078" s="290" t="s">
        <v>4623</v>
      </c>
      <c r="N1078" s="290" t="s">
        <v>4623</v>
      </c>
      <c r="O1078" s="290" t="s">
        <v>4623</v>
      </c>
      <c r="P1078" s="290" t="s">
        <v>999</v>
      </c>
      <c r="Q1078" s="291" t="s">
        <v>4623</v>
      </c>
      <c r="R1078" s="276"/>
      <c r="S1078" s="277">
        <f>IF(OR(C1078="",C1078=T$4),NA(),MATCH($B1078&amp;$C1078,'Smelter Reference List'!$J:$J,0))</f>
        <v>442</v>
      </c>
      <c r="T1078" s="278"/>
      <c r="U1078" s="278"/>
      <c r="V1078" s="278"/>
      <c r="W1078" s="278"/>
    </row>
    <row r="1079" spans="1:23" s="269" customFormat="1" ht="20.25">
      <c r="A1079" s="267"/>
      <c r="B1079" s="275" t="s">
        <v>2437</v>
      </c>
      <c r="C1079" s="275" t="s">
        <v>3831</v>
      </c>
      <c r="D1079" s="168" t="s">
        <v>1899</v>
      </c>
      <c r="E1079" s="168" t="s">
        <v>2283</v>
      </c>
      <c r="F1079" s="168" t="s">
        <v>4623</v>
      </c>
      <c r="G1079" s="168" t="s">
        <v>4623</v>
      </c>
      <c r="H1079" s="292" t="s">
        <v>4623</v>
      </c>
      <c r="I1079" s="293" t="s">
        <v>4623</v>
      </c>
      <c r="J1079" s="293" t="s">
        <v>4623</v>
      </c>
      <c r="K1079" s="290" t="s">
        <v>4623</v>
      </c>
      <c r="L1079" s="290" t="s">
        <v>4623</v>
      </c>
      <c r="M1079" s="290" t="s">
        <v>4623</v>
      </c>
      <c r="N1079" s="290" t="s">
        <v>4623</v>
      </c>
      <c r="O1079" s="290" t="s">
        <v>4623</v>
      </c>
      <c r="P1079" s="290" t="s">
        <v>999</v>
      </c>
      <c r="Q1079" s="291" t="s">
        <v>4623</v>
      </c>
      <c r="R1079" s="276"/>
      <c r="S1079" s="277">
        <f>IF(OR(C1079="",C1079=T$4),NA(),MATCH($B1079&amp;$C1079,'Smelter Reference List'!$J:$J,0))</f>
        <v>442</v>
      </c>
      <c r="T1079" s="278"/>
      <c r="U1079" s="278"/>
      <c r="V1079" s="278"/>
      <c r="W1079" s="278"/>
    </row>
    <row r="1080" spans="1:23" s="269" customFormat="1" ht="20.25">
      <c r="A1080" s="267"/>
      <c r="B1080" s="275" t="s">
        <v>2437</v>
      </c>
      <c r="C1080" s="275" t="s">
        <v>3831</v>
      </c>
      <c r="D1080" s="168" t="s">
        <v>4567</v>
      </c>
      <c r="E1080" s="168" t="s">
        <v>2283</v>
      </c>
      <c r="F1080" s="168" t="s">
        <v>4623</v>
      </c>
      <c r="G1080" s="168" t="s">
        <v>4623</v>
      </c>
      <c r="H1080" s="292" t="s">
        <v>4623</v>
      </c>
      <c r="I1080" s="293" t="s">
        <v>4623</v>
      </c>
      <c r="J1080" s="293" t="s">
        <v>4623</v>
      </c>
      <c r="K1080" s="290" t="s">
        <v>4623</v>
      </c>
      <c r="L1080" s="290" t="s">
        <v>4623</v>
      </c>
      <c r="M1080" s="290" t="s">
        <v>4623</v>
      </c>
      <c r="N1080" s="290" t="s">
        <v>4623</v>
      </c>
      <c r="O1080" s="290" t="s">
        <v>4623</v>
      </c>
      <c r="P1080" s="290" t="s">
        <v>999</v>
      </c>
      <c r="Q1080" s="291" t="s">
        <v>4623</v>
      </c>
      <c r="R1080" s="276"/>
      <c r="S1080" s="277">
        <f>IF(OR(C1080="",C1080=T$4),NA(),MATCH($B1080&amp;$C1080,'Smelter Reference List'!$J:$J,0))</f>
        <v>442</v>
      </c>
      <c r="T1080" s="278"/>
      <c r="U1080" s="278"/>
      <c r="V1080" s="278"/>
      <c r="W1080" s="278"/>
    </row>
    <row r="1081" spans="1:23" s="269" customFormat="1" ht="20.25">
      <c r="A1081" s="267"/>
      <c r="B1081" s="275" t="s">
        <v>2437</v>
      </c>
      <c r="C1081" s="275" t="s">
        <v>3831</v>
      </c>
      <c r="D1081" s="168" t="s">
        <v>5158</v>
      </c>
      <c r="E1081" s="168" t="s">
        <v>2283</v>
      </c>
      <c r="F1081" s="168" t="s">
        <v>4623</v>
      </c>
      <c r="G1081" s="168" t="s">
        <v>4623</v>
      </c>
      <c r="H1081" s="292" t="s">
        <v>4623</v>
      </c>
      <c r="I1081" s="293" t="s">
        <v>4623</v>
      </c>
      <c r="J1081" s="293" t="s">
        <v>4623</v>
      </c>
      <c r="K1081" s="290" t="s">
        <v>4623</v>
      </c>
      <c r="L1081" s="290" t="s">
        <v>4623</v>
      </c>
      <c r="M1081" s="290" t="s">
        <v>4623</v>
      </c>
      <c r="N1081" s="290" t="s">
        <v>4623</v>
      </c>
      <c r="O1081" s="290" t="s">
        <v>4623</v>
      </c>
      <c r="P1081" s="290" t="s">
        <v>999</v>
      </c>
      <c r="Q1081" s="291" t="s">
        <v>4623</v>
      </c>
      <c r="R1081" s="276"/>
      <c r="S1081" s="277">
        <f>IF(OR(C1081="",C1081=T$4),NA(),MATCH($B1081&amp;$C1081,'Smelter Reference List'!$J:$J,0))</f>
        <v>442</v>
      </c>
      <c r="T1081" s="278"/>
      <c r="U1081" s="278"/>
      <c r="V1081" s="278"/>
      <c r="W1081" s="278"/>
    </row>
    <row r="1082" spans="1:23" s="269" customFormat="1" ht="20.25">
      <c r="A1082" s="267"/>
      <c r="B1082" s="275" t="s">
        <v>2437</v>
      </c>
      <c r="C1082" s="275" t="s">
        <v>3831</v>
      </c>
      <c r="D1082" s="168" t="s">
        <v>6458</v>
      </c>
      <c r="E1082" s="168" t="s">
        <v>2283</v>
      </c>
      <c r="F1082" s="168" t="s">
        <v>4623</v>
      </c>
      <c r="G1082" s="168" t="s">
        <v>4623</v>
      </c>
      <c r="H1082" s="292" t="s">
        <v>4623</v>
      </c>
      <c r="I1082" s="293" t="s">
        <v>4623</v>
      </c>
      <c r="J1082" s="293" t="s">
        <v>4623</v>
      </c>
      <c r="K1082" s="290" t="s">
        <v>4623</v>
      </c>
      <c r="L1082" s="290" t="s">
        <v>4623</v>
      </c>
      <c r="M1082" s="290" t="s">
        <v>4623</v>
      </c>
      <c r="N1082" s="290" t="s">
        <v>4623</v>
      </c>
      <c r="O1082" s="290" t="s">
        <v>4623</v>
      </c>
      <c r="P1082" s="290" t="s">
        <v>999</v>
      </c>
      <c r="Q1082" s="291" t="s">
        <v>4623</v>
      </c>
      <c r="R1082" s="276"/>
      <c r="S1082" s="277">
        <f>IF(OR(C1082="",C1082=T$4),NA(),MATCH($B1082&amp;$C1082,'Smelter Reference List'!$J:$J,0))</f>
        <v>442</v>
      </c>
      <c r="T1082" s="278"/>
      <c r="U1082" s="278"/>
      <c r="V1082" s="278"/>
      <c r="W1082" s="278"/>
    </row>
    <row r="1083" spans="1:23" s="269" customFormat="1" ht="20.25">
      <c r="A1083" s="267"/>
      <c r="B1083" s="275" t="s">
        <v>2437</v>
      </c>
      <c r="C1083" s="275" t="s">
        <v>3831</v>
      </c>
      <c r="D1083" s="168" t="s">
        <v>6459</v>
      </c>
      <c r="E1083" s="168" t="s">
        <v>2283</v>
      </c>
      <c r="F1083" s="168" t="s">
        <v>4623</v>
      </c>
      <c r="G1083" s="168" t="s">
        <v>4623</v>
      </c>
      <c r="H1083" s="292" t="s">
        <v>4623</v>
      </c>
      <c r="I1083" s="293" t="s">
        <v>4623</v>
      </c>
      <c r="J1083" s="293" t="s">
        <v>4623</v>
      </c>
      <c r="K1083" s="290" t="s">
        <v>4623</v>
      </c>
      <c r="L1083" s="290" t="s">
        <v>4623</v>
      </c>
      <c r="M1083" s="290" t="s">
        <v>4623</v>
      </c>
      <c r="N1083" s="290" t="s">
        <v>4623</v>
      </c>
      <c r="O1083" s="290" t="s">
        <v>4623</v>
      </c>
      <c r="P1083" s="290" t="s">
        <v>999</v>
      </c>
      <c r="Q1083" s="291" t="s">
        <v>4623</v>
      </c>
      <c r="R1083" s="276"/>
      <c r="S1083" s="277">
        <f>IF(OR(C1083="",C1083=T$4),NA(),MATCH($B1083&amp;$C1083,'Smelter Reference List'!$J:$J,0))</f>
        <v>442</v>
      </c>
      <c r="T1083" s="278"/>
      <c r="U1083" s="278"/>
      <c r="V1083" s="278"/>
      <c r="W1083" s="278"/>
    </row>
    <row r="1084" spans="1:23" s="269" customFormat="1" ht="20.25">
      <c r="A1084" s="267"/>
      <c r="B1084" s="275" t="s">
        <v>2437</v>
      </c>
      <c r="C1084" s="275" t="s">
        <v>3831</v>
      </c>
      <c r="D1084" s="168" t="s">
        <v>6460</v>
      </c>
      <c r="E1084" s="168" t="s">
        <v>2283</v>
      </c>
      <c r="F1084" s="168" t="s">
        <v>3769</v>
      </c>
      <c r="G1084" s="168" t="s">
        <v>4623</v>
      </c>
      <c r="H1084" s="292" t="s">
        <v>4623</v>
      </c>
      <c r="I1084" s="293" t="s">
        <v>6461</v>
      </c>
      <c r="J1084" s="293" t="s">
        <v>3337</v>
      </c>
      <c r="K1084" s="290" t="s">
        <v>4623</v>
      </c>
      <c r="L1084" s="290" t="s">
        <v>4623</v>
      </c>
      <c r="M1084" s="290" t="s">
        <v>4623</v>
      </c>
      <c r="N1084" s="290" t="s">
        <v>4623</v>
      </c>
      <c r="O1084" s="290" t="s">
        <v>4623</v>
      </c>
      <c r="P1084" s="290" t="s">
        <v>999</v>
      </c>
      <c r="Q1084" s="291" t="s">
        <v>6462</v>
      </c>
      <c r="R1084" s="276"/>
      <c r="S1084" s="277">
        <f>IF(OR(C1084="",C1084=T$4),NA(),MATCH($B1084&amp;$C1084,'Smelter Reference List'!$J:$J,0))</f>
        <v>442</v>
      </c>
      <c r="T1084" s="278"/>
      <c r="U1084" s="278"/>
      <c r="V1084" s="278"/>
      <c r="W1084" s="278"/>
    </row>
    <row r="1085" spans="1:23" s="269" customFormat="1" ht="20.25">
      <c r="A1085" s="267"/>
      <c r="B1085" s="275" t="s">
        <v>2437</v>
      </c>
      <c r="C1085" s="275" t="s">
        <v>3831</v>
      </c>
      <c r="D1085" s="168" t="s">
        <v>6463</v>
      </c>
      <c r="E1085" s="168" t="s">
        <v>2283</v>
      </c>
      <c r="F1085" s="168" t="s">
        <v>4623</v>
      </c>
      <c r="G1085" s="168" t="s">
        <v>4623</v>
      </c>
      <c r="H1085" s="292" t="s">
        <v>6464</v>
      </c>
      <c r="I1085" s="293" t="s">
        <v>6465</v>
      </c>
      <c r="J1085" s="293" t="s">
        <v>6440</v>
      </c>
      <c r="K1085" s="290" t="s">
        <v>6466</v>
      </c>
      <c r="L1085" s="290" t="s">
        <v>6467</v>
      </c>
      <c r="M1085" s="290" t="s">
        <v>4623</v>
      </c>
      <c r="N1085" s="290" t="s">
        <v>6468</v>
      </c>
      <c r="O1085" s="290" t="s">
        <v>6469</v>
      </c>
      <c r="P1085" s="290" t="s">
        <v>999</v>
      </c>
      <c r="Q1085" s="291" t="s">
        <v>4623</v>
      </c>
      <c r="R1085" s="276"/>
      <c r="S1085" s="277">
        <f>IF(OR(C1085="",C1085=T$4),NA(),MATCH($B1085&amp;$C1085,'Smelter Reference List'!$J:$J,0))</f>
        <v>442</v>
      </c>
      <c r="T1085" s="278"/>
      <c r="U1085" s="278"/>
      <c r="V1085" s="278"/>
      <c r="W1085" s="278"/>
    </row>
    <row r="1086" spans="1:23" s="269" customFormat="1" ht="20.25">
      <c r="A1086" s="267"/>
      <c r="B1086" s="275" t="s">
        <v>2437</v>
      </c>
      <c r="C1086" s="275" t="s">
        <v>3831</v>
      </c>
      <c r="D1086" s="168" t="s">
        <v>6470</v>
      </c>
      <c r="E1086" s="168" t="s">
        <v>2283</v>
      </c>
      <c r="F1086" s="168" t="s">
        <v>4623</v>
      </c>
      <c r="G1086" s="168" t="s">
        <v>4623</v>
      </c>
      <c r="H1086" s="292" t="s">
        <v>4623</v>
      </c>
      <c r="I1086" s="293" t="s">
        <v>4623</v>
      </c>
      <c r="J1086" s="293" t="s">
        <v>4623</v>
      </c>
      <c r="K1086" s="290" t="s">
        <v>4623</v>
      </c>
      <c r="L1086" s="290" t="s">
        <v>4623</v>
      </c>
      <c r="M1086" s="290" t="s">
        <v>4623</v>
      </c>
      <c r="N1086" s="290" t="s">
        <v>4623</v>
      </c>
      <c r="O1086" s="290" t="s">
        <v>4623</v>
      </c>
      <c r="P1086" s="290" t="s">
        <v>999</v>
      </c>
      <c r="Q1086" s="291" t="s">
        <v>4623</v>
      </c>
      <c r="R1086" s="276"/>
      <c r="S1086" s="277">
        <f>IF(OR(C1086="",C1086=T$4),NA(),MATCH($B1086&amp;$C1086,'Smelter Reference List'!$J:$J,0))</f>
        <v>442</v>
      </c>
      <c r="T1086" s="278"/>
      <c r="U1086" s="278"/>
      <c r="V1086" s="278"/>
      <c r="W1086" s="278"/>
    </row>
    <row r="1087" spans="1:23" s="269" customFormat="1" ht="20.25">
      <c r="A1087" s="267"/>
      <c r="B1087" s="275" t="s">
        <v>2437</v>
      </c>
      <c r="C1087" s="275" t="s">
        <v>3831</v>
      </c>
      <c r="D1087" s="168" t="s">
        <v>6471</v>
      </c>
      <c r="E1087" s="168" t="s">
        <v>2283</v>
      </c>
      <c r="F1087" s="168" t="s">
        <v>4623</v>
      </c>
      <c r="G1087" s="168" t="s">
        <v>4623</v>
      </c>
      <c r="H1087" s="292" t="s">
        <v>4623</v>
      </c>
      <c r="I1087" s="293" t="s">
        <v>4623</v>
      </c>
      <c r="J1087" s="293" t="s">
        <v>4623</v>
      </c>
      <c r="K1087" s="290" t="s">
        <v>4623</v>
      </c>
      <c r="L1087" s="290" t="s">
        <v>4623</v>
      </c>
      <c r="M1087" s="290" t="s">
        <v>4623</v>
      </c>
      <c r="N1087" s="290" t="s">
        <v>4623</v>
      </c>
      <c r="O1087" s="290" t="s">
        <v>4623</v>
      </c>
      <c r="P1087" s="290" t="s">
        <v>999</v>
      </c>
      <c r="Q1087" s="291" t="s">
        <v>4623</v>
      </c>
      <c r="R1087" s="276"/>
      <c r="S1087" s="277">
        <f>IF(OR(C1087="",C1087=T$4),NA(),MATCH($B1087&amp;$C1087,'Smelter Reference List'!$J:$J,0))</f>
        <v>442</v>
      </c>
      <c r="T1087" s="278"/>
      <c r="U1087" s="278"/>
      <c r="V1087" s="278"/>
      <c r="W1087" s="278"/>
    </row>
    <row r="1088" spans="1:23" s="269" customFormat="1" ht="20.25">
      <c r="A1088" s="267"/>
      <c r="B1088" s="275" t="s">
        <v>2437</v>
      </c>
      <c r="C1088" s="275" t="s">
        <v>3831</v>
      </c>
      <c r="D1088" s="168" t="s">
        <v>6472</v>
      </c>
      <c r="E1088" s="168" t="s">
        <v>2283</v>
      </c>
      <c r="F1088" s="168" t="s">
        <v>4623</v>
      </c>
      <c r="G1088" s="168" t="s">
        <v>4623</v>
      </c>
      <c r="H1088" s="292" t="s">
        <v>4623</v>
      </c>
      <c r="I1088" s="293" t="s">
        <v>6473</v>
      </c>
      <c r="J1088" s="293" t="s">
        <v>3731</v>
      </c>
      <c r="K1088" s="290" t="s">
        <v>4623</v>
      </c>
      <c r="L1088" s="290" t="s">
        <v>4623</v>
      </c>
      <c r="M1088" s="290" t="s">
        <v>4623</v>
      </c>
      <c r="N1088" s="290" t="s">
        <v>4623</v>
      </c>
      <c r="O1088" s="290" t="s">
        <v>4623</v>
      </c>
      <c r="P1088" s="290" t="s">
        <v>999</v>
      </c>
      <c r="Q1088" s="291" t="s">
        <v>4623</v>
      </c>
      <c r="R1088" s="276"/>
      <c r="S1088" s="277">
        <f>IF(OR(C1088="",C1088=T$4),NA(),MATCH($B1088&amp;$C1088,'Smelter Reference List'!$J:$J,0))</f>
        <v>442</v>
      </c>
      <c r="T1088" s="278"/>
      <c r="U1088" s="278"/>
      <c r="V1088" s="278"/>
      <c r="W1088" s="278"/>
    </row>
    <row r="1089" spans="1:23" s="269" customFormat="1" ht="20.25">
      <c r="A1089" s="267"/>
      <c r="B1089" s="275" t="s">
        <v>2437</v>
      </c>
      <c r="C1089" s="275" t="s">
        <v>3831</v>
      </c>
      <c r="D1089" s="168" t="s">
        <v>6474</v>
      </c>
      <c r="E1089" s="168" t="s">
        <v>2283</v>
      </c>
      <c r="F1089" s="168" t="s">
        <v>4623</v>
      </c>
      <c r="G1089" s="168" t="s">
        <v>4623</v>
      </c>
      <c r="H1089" s="292" t="s">
        <v>6475</v>
      </c>
      <c r="I1089" s="293" t="s">
        <v>3665</v>
      </c>
      <c r="J1089" s="293" t="s">
        <v>6065</v>
      </c>
      <c r="K1089" s="290" t="s">
        <v>6476</v>
      </c>
      <c r="L1089" s="290" t="s">
        <v>6477</v>
      </c>
      <c r="M1089" s="290" t="s">
        <v>4623</v>
      </c>
      <c r="N1089" s="290" t="s">
        <v>6478</v>
      </c>
      <c r="O1089" s="290" t="s">
        <v>4638</v>
      </c>
      <c r="P1089" s="290" t="s">
        <v>999</v>
      </c>
      <c r="Q1089" s="291" t="s">
        <v>4623</v>
      </c>
      <c r="R1089" s="276"/>
      <c r="S1089" s="277">
        <f>IF(OR(C1089="",C1089=T$4),NA(),MATCH($B1089&amp;$C1089,'Smelter Reference List'!$J:$J,0))</f>
        <v>442</v>
      </c>
      <c r="T1089" s="278"/>
      <c r="U1089" s="278"/>
      <c r="V1089" s="278"/>
      <c r="W1089" s="278"/>
    </row>
    <row r="1090" spans="1:23" s="269" customFormat="1" ht="20.25">
      <c r="A1090" s="267"/>
      <c r="B1090" s="275" t="s">
        <v>2437</v>
      </c>
      <c r="C1090" s="275" t="s">
        <v>3831</v>
      </c>
      <c r="D1090" s="168" t="s">
        <v>4888</v>
      </c>
      <c r="E1090" s="168" t="s">
        <v>2290</v>
      </c>
      <c r="F1090" s="168" t="s">
        <v>4623</v>
      </c>
      <c r="G1090" s="168" t="s">
        <v>4623</v>
      </c>
      <c r="H1090" s="292" t="s">
        <v>4889</v>
      </c>
      <c r="I1090" s="293" t="s">
        <v>4890</v>
      </c>
      <c r="J1090" s="293" t="s">
        <v>3358</v>
      </c>
      <c r="K1090" s="290" t="s">
        <v>6479</v>
      </c>
      <c r="L1090" s="290" t="s">
        <v>4623</v>
      </c>
      <c r="M1090" s="290" t="s">
        <v>4623</v>
      </c>
      <c r="N1090" s="290" t="s">
        <v>4623</v>
      </c>
      <c r="O1090" s="290" t="s">
        <v>4623</v>
      </c>
      <c r="P1090" s="290" t="s">
        <v>999</v>
      </c>
      <c r="Q1090" s="291" t="s">
        <v>4623</v>
      </c>
      <c r="R1090" s="276"/>
      <c r="S1090" s="277">
        <f>IF(OR(C1090="",C1090=T$4),NA(),MATCH($B1090&amp;$C1090,'Smelter Reference List'!$J:$J,0))</f>
        <v>442</v>
      </c>
      <c r="T1090" s="278"/>
      <c r="U1090" s="278"/>
      <c r="V1090" s="278"/>
      <c r="W1090" s="278"/>
    </row>
    <row r="1091" spans="1:23" s="269" customFormat="1" ht="20.25">
      <c r="A1091" s="267"/>
      <c r="B1091" s="275" t="s">
        <v>2437</v>
      </c>
      <c r="C1091" s="275" t="s">
        <v>3831</v>
      </c>
      <c r="D1091" s="168" t="s">
        <v>6480</v>
      </c>
      <c r="E1091" s="168" t="s">
        <v>2290</v>
      </c>
      <c r="F1091" s="168" t="s">
        <v>4623</v>
      </c>
      <c r="G1091" s="168" t="s">
        <v>4623</v>
      </c>
      <c r="H1091" s="292" t="s">
        <v>4623</v>
      </c>
      <c r="I1091" s="293" t="s">
        <v>4623</v>
      </c>
      <c r="J1091" s="293" t="s">
        <v>4623</v>
      </c>
      <c r="K1091" s="290" t="s">
        <v>4623</v>
      </c>
      <c r="L1091" s="290" t="s">
        <v>4623</v>
      </c>
      <c r="M1091" s="290" t="s">
        <v>4623</v>
      </c>
      <c r="N1091" s="290" t="s">
        <v>4623</v>
      </c>
      <c r="O1091" s="290" t="s">
        <v>4623</v>
      </c>
      <c r="P1091" s="290" t="s">
        <v>999</v>
      </c>
      <c r="Q1091" s="291" t="s">
        <v>4623</v>
      </c>
      <c r="R1091" s="276"/>
      <c r="S1091" s="277">
        <f>IF(OR(C1091="",C1091=T$4),NA(),MATCH($B1091&amp;$C1091,'Smelter Reference List'!$J:$J,0))</f>
        <v>442</v>
      </c>
      <c r="T1091" s="278"/>
      <c r="U1091" s="278"/>
      <c r="V1091" s="278"/>
      <c r="W1091" s="278"/>
    </row>
    <row r="1092" spans="1:23" s="269" customFormat="1" ht="20.25">
      <c r="A1092" s="267"/>
      <c r="B1092" s="275" t="s">
        <v>2437</v>
      </c>
      <c r="C1092" s="275" t="s">
        <v>3831</v>
      </c>
      <c r="D1092" s="168" t="s">
        <v>6481</v>
      </c>
      <c r="E1092" s="168" t="s">
        <v>2290</v>
      </c>
      <c r="F1092" s="168" t="s">
        <v>4623</v>
      </c>
      <c r="G1092" s="168" t="s">
        <v>4623</v>
      </c>
      <c r="H1092" s="292" t="s">
        <v>3413</v>
      </c>
      <c r="I1092" s="293" t="s">
        <v>3414</v>
      </c>
      <c r="J1092" s="293" t="s">
        <v>6482</v>
      </c>
      <c r="K1092" s="290" t="s">
        <v>6483</v>
      </c>
      <c r="L1092" s="290" t="s">
        <v>4623</v>
      </c>
      <c r="M1092" s="290" t="s">
        <v>4623</v>
      </c>
      <c r="N1092" s="290" t="s">
        <v>4623</v>
      </c>
      <c r="O1092" s="290" t="s">
        <v>4623</v>
      </c>
      <c r="P1092" s="290" t="s">
        <v>999</v>
      </c>
      <c r="Q1092" s="291" t="s">
        <v>4623</v>
      </c>
      <c r="R1092" s="276"/>
      <c r="S1092" s="277">
        <f>IF(OR(C1092="",C1092=T$4),NA(),MATCH($B1092&amp;$C1092,'Smelter Reference List'!$J:$J,0))</f>
        <v>442</v>
      </c>
      <c r="T1092" s="278"/>
      <c r="U1092" s="278"/>
      <c r="V1092" s="278"/>
      <c r="W1092" s="278"/>
    </row>
    <row r="1093" spans="1:23" s="269" customFormat="1" ht="20.25">
      <c r="A1093" s="267"/>
      <c r="B1093" s="275" t="s">
        <v>2437</v>
      </c>
      <c r="C1093" s="275" t="s">
        <v>3831</v>
      </c>
      <c r="D1093" s="168" t="s">
        <v>6484</v>
      </c>
      <c r="E1093" s="168" t="s">
        <v>2290</v>
      </c>
      <c r="F1093" s="168" t="s">
        <v>4623</v>
      </c>
      <c r="G1093" s="168" t="s">
        <v>4623</v>
      </c>
      <c r="H1093" s="292" t="s">
        <v>4889</v>
      </c>
      <c r="I1093" s="293" t="s">
        <v>4890</v>
      </c>
      <c r="J1093" s="293" t="s">
        <v>3358</v>
      </c>
      <c r="K1093" s="290" t="s">
        <v>4623</v>
      </c>
      <c r="L1093" s="290" t="s">
        <v>4623</v>
      </c>
      <c r="M1093" s="290" t="s">
        <v>4623</v>
      </c>
      <c r="N1093" s="290" t="s">
        <v>4623</v>
      </c>
      <c r="O1093" s="290" t="s">
        <v>4623</v>
      </c>
      <c r="P1093" s="290" t="s">
        <v>999</v>
      </c>
      <c r="Q1093" s="291" t="s">
        <v>4623</v>
      </c>
      <c r="R1093" s="276"/>
      <c r="S1093" s="277">
        <f>IF(OR(C1093="",C1093=T$4),NA(),MATCH($B1093&amp;$C1093,'Smelter Reference List'!$J:$J,0))</f>
        <v>442</v>
      </c>
      <c r="T1093" s="278"/>
      <c r="U1093" s="278"/>
      <c r="V1093" s="278"/>
      <c r="W1093" s="278"/>
    </row>
    <row r="1094" spans="1:23" s="269" customFormat="1" ht="20.25">
      <c r="A1094" s="267"/>
      <c r="B1094" s="275" t="s">
        <v>2437</v>
      </c>
      <c r="C1094" s="275" t="s">
        <v>3831</v>
      </c>
      <c r="D1094" s="168" t="s">
        <v>6410</v>
      </c>
      <c r="E1094" s="168" t="s">
        <v>2290</v>
      </c>
      <c r="F1094" s="168" t="s">
        <v>4623</v>
      </c>
      <c r="G1094" s="168" t="s">
        <v>4623</v>
      </c>
      <c r="H1094" s="292" t="s">
        <v>4623</v>
      </c>
      <c r="I1094" s="293" t="s">
        <v>4623</v>
      </c>
      <c r="J1094" s="293" t="s">
        <v>4623</v>
      </c>
      <c r="K1094" s="290" t="s">
        <v>4623</v>
      </c>
      <c r="L1094" s="290" t="s">
        <v>4623</v>
      </c>
      <c r="M1094" s="290" t="s">
        <v>4623</v>
      </c>
      <c r="N1094" s="290" t="s">
        <v>4623</v>
      </c>
      <c r="O1094" s="290" t="s">
        <v>4623</v>
      </c>
      <c r="P1094" s="290" t="s">
        <v>999</v>
      </c>
      <c r="Q1094" s="291" t="s">
        <v>4623</v>
      </c>
      <c r="R1094" s="276"/>
      <c r="S1094" s="277">
        <f>IF(OR(C1094="",C1094=T$4),NA(),MATCH($B1094&amp;$C1094,'Smelter Reference List'!$J:$J,0))</f>
        <v>442</v>
      </c>
      <c r="T1094" s="278"/>
      <c r="U1094" s="278"/>
      <c r="V1094" s="278"/>
      <c r="W1094" s="278"/>
    </row>
    <row r="1095" spans="1:23" s="269" customFormat="1" ht="20.25">
      <c r="A1095" s="267"/>
      <c r="B1095" s="275" t="s">
        <v>2437</v>
      </c>
      <c r="C1095" s="275" t="s">
        <v>3831</v>
      </c>
      <c r="D1095" s="168" t="s">
        <v>6485</v>
      </c>
      <c r="E1095" s="168" t="s">
        <v>2290</v>
      </c>
      <c r="F1095" s="168" t="s">
        <v>4623</v>
      </c>
      <c r="G1095" s="168" t="s">
        <v>4623</v>
      </c>
      <c r="H1095" s="292" t="s">
        <v>4623</v>
      </c>
      <c r="I1095" s="293" t="s">
        <v>4623</v>
      </c>
      <c r="J1095" s="293" t="s">
        <v>4623</v>
      </c>
      <c r="K1095" s="290" t="s">
        <v>4623</v>
      </c>
      <c r="L1095" s="290" t="s">
        <v>4623</v>
      </c>
      <c r="M1095" s="290" t="s">
        <v>4623</v>
      </c>
      <c r="N1095" s="290" t="s">
        <v>4623</v>
      </c>
      <c r="O1095" s="290" t="s">
        <v>4623</v>
      </c>
      <c r="P1095" s="290" t="s">
        <v>999</v>
      </c>
      <c r="Q1095" s="291" t="s">
        <v>4623</v>
      </c>
      <c r="R1095" s="276"/>
      <c r="S1095" s="277">
        <f>IF(OR(C1095="",C1095=T$4),NA(),MATCH($B1095&amp;$C1095,'Smelter Reference List'!$J:$J,0))</f>
        <v>442</v>
      </c>
      <c r="T1095" s="278"/>
      <c r="U1095" s="278"/>
      <c r="V1095" s="278"/>
      <c r="W1095" s="278"/>
    </row>
    <row r="1096" spans="1:23" s="269" customFormat="1" ht="20.25">
      <c r="A1096" s="267"/>
      <c r="B1096" s="275" t="s">
        <v>2437</v>
      </c>
      <c r="C1096" s="275" t="s">
        <v>3831</v>
      </c>
      <c r="D1096" s="168" t="s">
        <v>6486</v>
      </c>
      <c r="E1096" s="168" t="s">
        <v>2290</v>
      </c>
      <c r="F1096" s="168" t="s">
        <v>4623</v>
      </c>
      <c r="G1096" s="168" t="s">
        <v>4623</v>
      </c>
      <c r="H1096" s="292" t="s">
        <v>4623</v>
      </c>
      <c r="I1096" s="293" t="s">
        <v>4623</v>
      </c>
      <c r="J1096" s="293" t="s">
        <v>4623</v>
      </c>
      <c r="K1096" s="290" t="s">
        <v>4623</v>
      </c>
      <c r="L1096" s="290" t="s">
        <v>4623</v>
      </c>
      <c r="M1096" s="290" t="s">
        <v>4623</v>
      </c>
      <c r="N1096" s="290" t="s">
        <v>4623</v>
      </c>
      <c r="O1096" s="290" t="s">
        <v>4623</v>
      </c>
      <c r="P1096" s="290" t="s">
        <v>999</v>
      </c>
      <c r="Q1096" s="291" t="s">
        <v>4623</v>
      </c>
      <c r="R1096" s="276"/>
      <c r="S1096" s="277">
        <f>IF(OR(C1096="",C1096=T$4),NA(),MATCH($B1096&amp;$C1096,'Smelter Reference List'!$J:$J,0))</f>
        <v>442</v>
      </c>
      <c r="T1096" s="278"/>
      <c r="U1096" s="278"/>
      <c r="V1096" s="278"/>
      <c r="W1096" s="278"/>
    </row>
    <row r="1097" spans="1:23" s="269" customFormat="1" ht="20.25">
      <c r="A1097" s="267"/>
      <c r="B1097" s="275" t="s">
        <v>2437</v>
      </c>
      <c r="C1097" s="275" t="s">
        <v>3831</v>
      </c>
      <c r="D1097" s="168" t="s">
        <v>6487</v>
      </c>
      <c r="E1097" s="168" t="s">
        <v>2290</v>
      </c>
      <c r="F1097" s="168" t="s">
        <v>4623</v>
      </c>
      <c r="G1097" s="168" t="s">
        <v>4623</v>
      </c>
      <c r="H1097" s="292" t="s">
        <v>4623</v>
      </c>
      <c r="I1097" s="293" t="s">
        <v>4623</v>
      </c>
      <c r="J1097" s="293" t="s">
        <v>4623</v>
      </c>
      <c r="K1097" s="290" t="s">
        <v>4623</v>
      </c>
      <c r="L1097" s="290" t="s">
        <v>4623</v>
      </c>
      <c r="M1097" s="290" t="s">
        <v>4623</v>
      </c>
      <c r="N1097" s="290" t="s">
        <v>4623</v>
      </c>
      <c r="O1097" s="290" t="s">
        <v>4623</v>
      </c>
      <c r="P1097" s="290" t="s">
        <v>999</v>
      </c>
      <c r="Q1097" s="291" t="s">
        <v>4623</v>
      </c>
      <c r="R1097" s="276"/>
      <c r="S1097" s="277">
        <f>IF(OR(C1097="",C1097=T$4),NA(),MATCH($B1097&amp;$C1097,'Smelter Reference List'!$J:$J,0))</f>
        <v>442</v>
      </c>
      <c r="T1097" s="278"/>
      <c r="U1097" s="278"/>
      <c r="V1097" s="278"/>
      <c r="W1097" s="278"/>
    </row>
    <row r="1098" spans="1:23" s="269" customFormat="1" ht="20.25">
      <c r="A1098" s="267"/>
      <c r="B1098" s="275" t="s">
        <v>2437</v>
      </c>
      <c r="C1098" s="275" t="s">
        <v>3831</v>
      </c>
      <c r="D1098" s="168" t="s">
        <v>6488</v>
      </c>
      <c r="E1098" s="168" t="s">
        <v>2290</v>
      </c>
      <c r="F1098" s="168" t="s">
        <v>4623</v>
      </c>
      <c r="G1098" s="168" t="s">
        <v>4623</v>
      </c>
      <c r="H1098" s="292" t="s">
        <v>4623</v>
      </c>
      <c r="I1098" s="293" t="s">
        <v>4623</v>
      </c>
      <c r="J1098" s="293" t="s">
        <v>4623</v>
      </c>
      <c r="K1098" s="290" t="s">
        <v>4623</v>
      </c>
      <c r="L1098" s="290" t="s">
        <v>4623</v>
      </c>
      <c r="M1098" s="290" t="s">
        <v>4623</v>
      </c>
      <c r="N1098" s="290" t="s">
        <v>4623</v>
      </c>
      <c r="O1098" s="290" t="s">
        <v>4623</v>
      </c>
      <c r="P1098" s="290" t="s">
        <v>999</v>
      </c>
      <c r="Q1098" s="291" t="s">
        <v>4623</v>
      </c>
      <c r="R1098" s="276"/>
      <c r="S1098" s="277">
        <f>IF(OR(C1098="",C1098=T$4),NA(),MATCH($B1098&amp;$C1098,'Smelter Reference List'!$J:$J,0))</f>
        <v>442</v>
      </c>
      <c r="T1098" s="278"/>
      <c r="U1098" s="278"/>
      <c r="V1098" s="278"/>
      <c r="W1098" s="278"/>
    </row>
    <row r="1099" spans="1:23" s="269" customFormat="1" ht="20.25">
      <c r="A1099" s="267"/>
      <c r="B1099" s="275" t="s">
        <v>2437</v>
      </c>
      <c r="C1099" s="275" t="s">
        <v>3831</v>
      </c>
      <c r="D1099" s="168" t="s">
        <v>6489</v>
      </c>
      <c r="E1099" s="168" t="s">
        <v>2290</v>
      </c>
      <c r="F1099" s="168" t="s">
        <v>4623</v>
      </c>
      <c r="G1099" s="168" t="s">
        <v>4623</v>
      </c>
      <c r="H1099" s="292" t="s">
        <v>4623</v>
      </c>
      <c r="I1099" s="293" t="s">
        <v>4623</v>
      </c>
      <c r="J1099" s="293" t="s">
        <v>4623</v>
      </c>
      <c r="K1099" s="290" t="s">
        <v>4623</v>
      </c>
      <c r="L1099" s="290" t="s">
        <v>4623</v>
      </c>
      <c r="M1099" s="290" t="s">
        <v>4623</v>
      </c>
      <c r="N1099" s="290" t="s">
        <v>4623</v>
      </c>
      <c r="O1099" s="290" t="s">
        <v>4623</v>
      </c>
      <c r="P1099" s="290" t="s">
        <v>999</v>
      </c>
      <c r="Q1099" s="291" t="s">
        <v>4623</v>
      </c>
      <c r="R1099" s="276"/>
      <c r="S1099" s="277">
        <f>IF(OR(C1099="",C1099=T$4),NA(),MATCH($B1099&amp;$C1099,'Smelter Reference List'!$J:$J,0))</f>
        <v>442</v>
      </c>
      <c r="T1099" s="278"/>
      <c r="U1099" s="278"/>
      <c r="V1099" s="278"/>
      <c r="W1099" s="278"/>
    </row>
    <row r="1100" spans="1:23" s="269" customFormat="1" ht="20.25">
      <c r="A1100" s="267"/>
      <c r="B1100" s="275" t="s">
        <v>2437</v>
      </c>
      <c r="C1100" s="275" t="s">
        <v>3831</v>
      </c>
      <c r="D1100" s="168" t="s">
        <v>4920</v>
      </c>
      <c r="E1100" s="168" t="s">
        <v>2290</v>
      </c>
      <c r="F1100" s="168" t="s">
        <v>4623</v>
      </c>
      <c r="G1100" s="168" t="s">
        <v>4623</v>
      </c>
      <c r="H1100" s="292" t="s">
        <v>6490</v>
      </c>
      <c r="I1100" s="293" t="s">
        <v>4906</v>
      </c>
      <c r="J1100" s="293" t="s">
        <v>6491</v>
      </c>
      <c r="K1100" s="290" t="s">
        <v>4623</v>
      </c>
      <c r="L1100" s="290" t="s">
        <v>999</v>
      </c>
      <c r="M1100" s="290" t="s">
        <v>999</v>
      </c>
      <c r="N1100" s="290" t="s">
        <v>4623</v>
      </c>
      <c r="O1100" s="290" t="s">
        <v>4623</v>
      </c>
      <c r="P1100" s="290" t="s">
        <v>999</v>
      </c>
      <c r="Q1100" s="291" t="s">
        <v>4623</v>
      </c>
      <c r="R1100" s="276"/>
      <c r="S1100" s="277">
        <f>IF(OR(C1100="",C1100=T$4),NA(),MATCH($B1100&amp;$C1100,'Smelter Reference List'!$J:$J,0))</f>
        <v>442</v>
      </c>
      <c r="T1100" s="278"/>
      <c r="U1100" s="278"/>
      <c r="V1100" s="278"/>
      <c r="W1100" s="278"/>
    </row>
    <row r="1101" spans="1:23" s="269" customFormat="1" ht="20.25">
      <c r="A1101" s="267"/>
      <c r="B1101" s="275" t="s">
        <v>2437</v>
      </c>
      <c r="C1101" s="275" t="s">
        <v>3831</v>
      </c>
      <c r="D1101" s="168" t="s">
        <v>6492</v>
      </c>
      <c r="E1101" s="168" t="s">
        <v>2290</v>
      </c>
      <c r="F1101" s="168" t="s">
        <v>4623</v>
      </c>
      <c r="G1101" s="168" t="s">
        <v>4623</v>
      </c>
      <c r="H1101" s="292" t="s">
        <v>4623</v>
      </c>
      <c r="I1101" s="293" t="s">
        <v>4623</v>
      </c>
      <c r="J1101" s="293" t="s">
        <v>4623</v>
      </c>
      <c r="K1101" s="290" t="s">
        <v>4623</v>
      </c>
      <c r="L1101" s="290" t="s">
        <v>4623</v>
      </c>
      <c r="M1101" s="290" t="s">
        <v>4623</v>
      </c>
      <c r="N1101" s="290" t="s">
        <v>4623</v>
      </c>
      <c r="O1101" s="290" t="s">
        <v>4623</v>
      </c>
      <c r="P1101" s="290" t="s">
        <v>999</v>
      </c>
      <c r="Q1101" s="291" t="s">
        <v>4623</v>
      </c>
      <c r="R1101" s="276"/>
      <c r="S1101" s="277">
        <f>IF(OR(C1101="",C1101=T$4),NA(),MATCH($B1101&amp;$C1101,'Smelter Reference List'!$J:$J,0))</f>
        <v>442</v>
      </c>
      <c r="T1101" s="278"/>
      <c r="U1101" s="278"/>
      <c r="V1101" s="278"/>
      <c r="W1101" s="278"/>
    </row>
    <row r="1102" spans="1:23" s="269" customFormat="1" ht="20.25">
      <c r="A1102" s="267"/>
      <c r="B1102" s="275" t="s">
        <v>2437</v>
      </c>
      <c r="C1102" s="275" t="s">
        <v>3831</v>
      </c>
      <c r="D1102" s="168" t="s">
        <v>6493</v>
      </c>
      <c r="E1102" s="168" t="s">
        <v>2290</v>
      </c>
      <c r="F1102" s="168" t="s">
        <v>4623</v>
      </c>
      <c r="G1102" s="168" t="s">
        <v>4623</v>
      </c>
      <c r="H1102" s="292" t="s">
        <v>4623</v>
      </c>
      <c r="I1102" s="293" t="s">
        <v>4623</v>
      </c>
      <c r="J1102" s="293" t="s">
        <v>4623</v>
      </c>
      <c r="K1102" s="290" t="s">
        <v>4623</v>
      </c>
      <c r="L1102" s="290" t="s">
        <v>4623</v>
      </c>
      <c r="M1102" s="290" t="s">
        <v>4623</v>
      </c>
      <c r="N1102" s="290" t="s">
        <v>4623</v>
      </c>
      <c r="O1102" s="290" t="s">
        <v>4623</v>
      </c>
      <c r="P1102" s="290" t="s">
        <v>999</v>
      </c>
      <c r="Q1102" s="291" t="s">
        <v>4623</v>
      </c>
      <c r="R1102" s="276"/>
      <c r="S1102" s="277">
        <f>IF(OR(C1102="",C1102=T$4),NA(),MATCH($B1102&amp;$C1102,'Smelter Reference List'!$J:$J,0))</f>
        <v>442</v>
      </c>
      <c r="T1102" s="278"/>
      <c r="U1102" s="278"/>
      <c r="V1102" s="278"/>
      <c r="W1102" s="278"/>
    </row>
    <row r="1103" spans="1:23" s="269" customFormat="1" ht="20.25">
      <c r="A1103" s="267"/>
      <c r="B1103" s="275" t="s">
        <v>2437</v>
      </c>
      <c r="C1103" s="275" t="s">
        <v>3831</v>
      </c>
      <c r="D1103" s="168" t="s">
        <v>6494</v>
      </c>
      <c r="E1103" s="168" t="s">
        <v>2294</v>
      </c>
      <c r="F1103" s="168" t="s">
        <v>4623</v>
      </c>
      <c r="G1103" s="168" t="s">
        <v>4623</v>
      </c>
      <c r="H1103" s="292" t="s">
        <v>6495</v>
      </c>
      <c r="I1103" s="293" t="s">
        <v>3685</v>
      </c>
      <c r="J1103" s="293" t="s">
        <v>3364</v>
      </c>
      <c r="K1103" s="290" t="s">
        <v>6496</v>
      </c>
      <c r="L1103" s="290" t="s">
        <v>6497</v>
      </c>
      <c r="M1103" s="290" t="s">
        <v>4623</v>
      </c>
      <c r="N1103" s="290" t="s">
        <v>4623</v>
      </c>
      <c r="O1103" s="290" t="s">
        <v>4623</v>
      </c>
      <c r="P1103" s="290" t="s">
        <v>999</v>
      </c>
      <c r="Q1103" s="291" t="s">
        <v>4623</v>
      </c>
      <c r="R1103" s="276"/>
      <c r="S1103" s="277">
        <f>IF(OR(C1103="",C1103=T$4),NA(),MATCH($B1103&amp;$C1103,'Smelter Reference List'!$J:$J,0))</f>
        <v>442</v>
      </c>
      <c r="T1103" s="278"/>
      <c r="U1103" s="278"/>
      <c r="V1103" s="278"/>
      <c r="W1103" s="278"/>
    </row>
    <row r="1104" spans="1:23" s="269" customFormat="1" ht="20.25">
      <c r="A1104" s="267"/>
      <c r="B1104" s="275" t="s">
        <v>2437</v>
      </c>
      <c r="C1104" s="275" t="s">
        <v>3831</v>
      </c>
      <c r="D1104" s="168" t="s">
        <v>4927</v>
      </c>
      <c r="E1104" s="168" t="s">
        <v>2294</v>
      </c>
      <c r="F1104" s="168" t="s">
        <v>4623</v>
      </c>
      <c r="G1104" s="168" t="s">
        <v>4623</v>
      </c>
      <c r="H1104" s="292" t="s">
        <v>4623</v>
      </c>
      <c r="I1104" s="293" t="s">
        <v>4623</v>
      </c>
      <c r="J1104" s="293" t="s">
        <v>4623</v>
      </c>
      <c r="K1104" s="290" t="s">
        <v>4623</v>
      </c>
      <c r="L1104" s="290" t="s">
        <v>4623</v>
      </c>
      <c r="M1104" s="290" t="s">
        <v>4623</v>
      </c>
      <c r="N1104" s="290" t="s">
        <v>4623</v>
      </c>
      <c r="O1104" s="290" t="s">
        <v>4623</v>
      </c>
      <c r="P1104" s="290" t="s">
        <v>999</v>
      </c>
      <c r="Q1104" s="291" t="s">
        <v>4623</v>
      </c>
      <c r="R1104" s="276"/>
      <c r="S1104" s="277">
        <f>IF(OR(C1104="",C1104=T$4),NA(),MATCH($B1104&amp;$C1104,'Smelter Reference List'!$J:$J,0))</f>
        <v>442</v>
      </c>
      <c r="T1104" s="278"/>
      <c r="U1104" s="278"/>
      <c r="V1104" s="278"/>
      <c r="W1104" s="278"/>
    </row>
    <row r="1105" spans="1:23" s="269" customFormat="1" ht="20.25">
      <c r="A1105" s="267"/>
      <c r="B1105" s="275" t="s">
        <v>2437</v>
      </c>
      <c r="C1105" s="275" t="s">
        <v>3831</v>
      </c>
      <c r="D1105" s="168" t="s">
        <v>6498</v>
      </c>
      <c r="E1105" s="168" t="s">
        <v>2294</v>
      </c>
      <c r="F1105" s="168" t="s">
        <v>4623</v>
      </c>
      <c r="G1105" s="168" t="s">
        <v>4623</v>
      </c>
      <c r="H1105" s="292" t="s">
        <v>4623</v>
      </c>
      <c r="I1105" s="293" t="s">
        <v>4623</v>
      </c>
      <c r="J1105" s="293" t="s">
        <v>4623</v>
      </c>
      <c r="K1105" s="290" t="s">
        <v>4623</v>
      </c>
      <c r="L1105" s="290" t="s">
        <v>4623</v>
      </c>
      <c r="M1105" s="290" t="s">
        <v>6377</v>
      </c>
      <c r="N1105" s="290" t="s">
        <v>5000</v>
      </c>
      <c r="O1105" s="290" t="s">
        <v>5000</v>
      </c>
      <c r="P1105" s="290" t="s">
        <v>999</v>
      </c>
      <c r="Q1105" s="291" t="s">
        <v>4623</v>
      </c>
      <c r="R1105" s="276"/>
      <c r="S1105" s="277">
        <f>IF(OR(C1105="",C1105=T$4),NA(),MATCH($B1105&amp;$C1105,'Smelter Reference List'!$J:$J,0))</f>
        <v>442</v>
      </c>
      <c r="T1105" s="278"/>
      <c r="U1105" s="278"/>
      <c r="V1105" s="278"/>
      <c r="W1105" s="278"/>
    </row>
    <row r="1106" spans="1:23" s="269" customFormat="1" ht="20.25">
      <c r="A1106" s="267"/>
      <c r="B1106" s="275" t="s">
        <v>2437</v>
      </c>
      <c r="C1106" s="275" t="s">
        <v>3831</v>
      </c>
      <c r="D1106" s="168" t="s">
        <v>6499</v>
      </c>
      <c r="E1106" s="168" t="s">
        <v>2294</v>
      </c>
      <c r="F1106" s="168" t="s">
        <v>4623</v>
      </c>
      <c r="G1106" s="168" t="s">
        <v>4623</v>
      </c>
      <c r="H1106" s="292" t="s">
        <v>4623</v>
      </c>
      <c r="I1106" s="293" t="s">
        <v>4623</v>
      </c>
      <c r="J1106" s="293" t="s">
        <v>4623</v>
      </c>
      <c r="K1106" s="290" t="s">
        <v>4623</v>
      </c>
      <c r="L1106" s="290" t="s">
        <v>4623</v>
      </c>
      <c r="M1106" s="290" t="s">
        <v>4623</v>
      </c>
      <c r="N1106" s="290" t="s">
        <v>4623</v>
      </c>
      <c r="O1106" s="290" t="s">
        <v>4623</v>
      </c>
      <c r="P1106" s="290" t="s">
        <v>999</v>
      </c>
      <c r="Q1106" s="291" t="s">
        <v>4623</v>
      </c>
      <c r="R1106" s="276"/>
      <c r="S1106" s="277">
        <f>IF(OR(C1106="",C1106=T$4),NA(),MATCH($B1106&amp;$C1106,'Smelter Reference List'!$J:$J,0))</f>
        <v>442</v>
      </c>
      <c r="T1106" s="278"/>
      <c r="U1106" s="278"/>
      <c r="V1106" s="278"/>
      <c r="W1106" s="278"/>
    </row>
    <row r="1107" spans="1:23" s="269" customFormat="1" ht="20.25">
      <c r="A1107" s="267"/>
      <c r="B1107" s="275" t="s">
        <v>2437</v>
      </c>
      <c r="C1107" s="275" t="s">
        <v>3831</v>
      </c>
      <c r="D1107" s="168" t="s">
        <v>6500</v>
      </c>
      <c r="E1107" s="168" t="s">
        <v>2294</v>
      </c>
      <c r="F1107" s="168" t="s">
        <v>4623</v>
      </c>
      <c r="G1107" s="168" t="s">
        <v>4623</v>
      </c>
      <c r="H1107" s="292" t="s">
        <v>4623</v>
      </c>
      <c r="I1107" s="293" t="s">
        <v>4623</v>
      </c>
      <c r="J1107" s="293" t="s">
        <v>4623</v>
      </c>
      <c r="K1107" s="290" t="s">
        <v>4623</v>
      </c>
      <c r="L1107" s="290" t="s">
        <v>4623</v>
      </c>
      <c r="M1107" s="290" t="s">
        <v>4623</v>
      </c>
      <c r="N1107" s="290" t="s">
        <v>4623</v>
      </c>
      <c r="O1107" s="290" t="s">
        <v>4623</v>
      </c>
      <c r="P1107" s="290" t="s">
        <v>999</v>
      </c>
      <c r="Q1107" s="291" t="s">
        <v>4623</v>
      </c>
      <c r="R1107" s="276"/>
      <c r="S1107" s="277">
        <f>IF(OR(C1107="",C1107=T$4),NA(),MATCH($B1107&amp;$C1107,'Smelter Reference List'!$J:$J,0))</f>
        <v>442</v>
      </c>
      <c r="T1107" s="278"/>
      <c r="U1107" s="278"/>
      <c r="V1107" s="278"/>
      <c r="W1107" s="278"/>
    </row>
    <row r="1108" spans="1:23" s="269" customFormat="1" ht="20.25">
      <c r="A1108" s="267"/>
      <c r="B1108" s="275" t="s">
        <v>2437</v>
      </c>
      <c r="C1108" s="275" t="s">
        <v>3831</v>
      </c>
      <c r="D1108" s="168" t="s">
        <v>6501</v>
      </c>
      <c r="E1108" s="168" t="s">
        <v>2294</v>
      </c>
      <c r="F1108" s="168" t="s">
        <v>4623</v>
      </c>
      <c r="G1108" s="168" t="s">
        <v>4623</v>
      </c>
      <c r="H1108" s="292" t="s">
        <v>4623</v>
      </c>
      <c r="I1108" s="293" t="s">
        <v>4623</v>
      </c>
      <c r="J1108" s="293" t="s">
        <v>4623</v>
      </c>
      <c r="K1108" s="290" t="s">
        <v>4623</v>
      </c>
      <c r="L1108" s="290" t="s">
        <v>4623</v>
      </c>
      <c r="M1108" s="290" t="s">
        <v>4623</v>
      </c>
      <c r="N1108" s="290" t="s">
        <v>4623</v>
      </c>
      <c r="O1108" s="290" t="s">
        <v>4623</v>
      </c>
      <c r="P1108" s="290" t="s">
        <v>999</v>
      </c>
      <c r="Q1108" s="291" t="s">
        <v>4623</v>
      </c>
      <c r="R1108" s="276"/>
      <c r="S1108" s="277">
        <f>IF(OR(C1108="",C1108=T$4),NA(),MATCH($B1108&amp;$C1108,'Smelter Reference List'!$J:$J,0))</f>
        <v>442</v>
      </c>
      <c r="T1108" s="278"/>
      <c r="U1108" s="278"/>
      <c r="V1108" s="278"/>
      <c r="W1108" s="278"/>
    </row>
    <row r="1109" spans="1:23" s="269" customFormat="1" ht="20.25">
      <c r="A1109" s="267"/>
      <c r="B1109" s="275" t="s">
        <v>2437</v>
      </c>
      <c r="C1109" s="275" t="s">
        <v>3831</v>
      </c>
      <c r="D1109" s="168" t="s">
        <v>6502</v>
      </c>
      <c r="E1109" s="168" t="s">
        <v>2294</v>
      </c>
      <c r="F1109" s="168" t="s">
        <v>4623</v>
      </c>
      <c r="G1109" s="168" t="s">
        <v>4623</v>
      </c>
      <c r="H1109" s="292" t="s">
        <v>4623</v>
      </c>
      <c r="I1109" s="293" t="s">
        <v>4623</v>
      </c>
      <c r="J1109" s="293" t="s">
        <v>4623</v>
      </c>
      <c r="K1109" s="290" t="s">
        <v>4623</v>
      </c>
      <c r="L1109" s="290" t="s">
        <v>4623</v>
      </c>
      <c r="M1109" s="290" t="s">
        <v>4623</v>
      </c>
      <c r="N1109" s="290" t="s">
        <v>4623</v>
      </c>
      <c r="O1109" s="290" t="s">
        <v>4623</v>
      </c>
      <c r="P1109" s="290" t="s">
        <v>999</v>
      </c>
      <c r="Q1109" s="291" t="s">
        <v>4623</v>
      </c>
      <c r="R1109" s="276"/>
      <c r="S1109" s="277">
        <f>IF(OR(C1109="",C1109=T$4),NA(),MATCH($B1109&amp;$C1109,'Smelter Reference List'!$J:$J,0))</f>
        <v>442</v>
      </c>
      <c r="T1109" s="278"/>
      <c r="U1109" s="278"/>
      <c r="V1109" s="278"/>
      <c r="W1109" s="278"/>
    </row>
    <row r="1110" spans="1:23" s="269" customFormat="1" ht="20.25">
      <c r="A1110" s="267"/>
      <c r="B1110" s="275" t="s">
        <v>2437</v>
      </c>
      <c r="C1110" s="275" t="s">
        <v>3831</v>
      </c>
      <c r="D1110" s="168" t="s">
        <v>6349</v>
      </c>
      <c r="E1110" s="168" t="s">
        <v>2294</v>
      </c>
      <c r="F1110" s="168" t="s">
        <v>4623</v>
      </c>
      <c r="G1110" s="168"/>
      <c r="H1110" s="292" t="s">
        <v>6503</v>
      </c>
      <c r="I1110" s="293" t="s">
        <v>6504</v>
      </c>
      <c r="J1110" s="293" t="s">
        <v>4623</v>
      </c>
      <c r="K1110" s="290" t="s">
        <v>6505</v>
      </c>
      <c r="L1110" s="290" t="s">
        <v>6506</v>
      </c>
      <c r="M1110" s="290" t="s">
        <v>4623</v>
      </c>
      <c r="N1110" s="290" t="s">
        <v>4628</v>
      </c>
      <c r="O1110" s="290" t="s">
        <v>5206</v>
      </c>
      <c r="P1110" s="290" t="s">
        <v>999</v>
      </c>
      <c r="Q1110" s="291" t="s">
        <v>4623</v>
      </c>
      <c r="R1110" s="276"/>
      <c r="S1110" s="277">
        <f>IF(OR(C1110="",C1110=T$4),NA(),MATCH($B1110&amp;$C1110,'Smelter Reference List'!$J:$J,0))</f>
        <v>442</v>
      </c>
      <c r="T1110" s="278"/>
      <c r="U1110" s="278"/>
      <c r="V1110" s="278"/>
      <c r="W1110" s="278"/>
    </row>
    <row r="1111" spans="1:23" s="269" customFormat="1" ht="20.25">
      <c r="A1111" s="267"/>
      <c r="B1111" s="275" t="s">
        <v>2437</v>
      </c>
      <c r="C1111" s="275" t="s">
        <v>3831</v>
      </c>
      <c r="D1111" s="168" t="s">
        <v>6507</v>
      </c>
      <c r="E1111" s="168" t="s">
        <v>2294</v>
      </c>
      <c r="F1111" s="168" t="s">
        <v>4623</v>
      </c>
      <c r="G1111" s="168" t="s">
        <v>4623</v>
      </c>
      <c r="H1111" s="292" t="s">
        <v>4623</v>
      </c>
      <c r="I1111" s="293" t="s">
        <v>4623</v>
      </c>
      <c r="J1111" s="293" t="s">
        <v>4623</v>
      </c>
      <c r="K1111" s="290" t="s">
        <v>4623</v>
      </c>
      <c r="L1111" s="290" t="s">
        <v>4623</v>
      </c>
      <c r="M1111" s="290" t="s">
        <v>4623</v>
      </c>
      <c r="N1111" s="290" t="s">
        <v>4623</v>
      </c>
      <c r="O1111" s="290" t="s">
        <v>4623</v>
      </c>
      <c r="P1111" s="290" t="s">
        <v>999</v>
      </c>
      <c r="Q1111" s="291" t="s">
        <v>4623</v>
      </c>
      <c r="R1111" s="276"/>
      <c r="S1111" s="277">
        <f>IF(OR(C1111="",C1111=T$4),NA(),MATCH($B1111&amp;$C1111,'Smelter Reference List'!$J:$J,0))</f>
        <v>442</v>
      </c>
      <c r="T1111" s="278"/>
      <c r="U1111" s="278"/>
      <c r="V1111" s="278"/>
      <c r="W1111" s="278"/>
    </row>
    <row r="1112" spans="1:23" s="269" customFormat="1" ht="20.25">
      <c r="A1112" s="267"/>
      <c r="B1112" s="275" t="s">
        <v>2437</v>
      </c>
      <c r="C1112" s="275" t="s">
        <v>3831</v>
      </c>
      <c r="D1112" s="168" t="s">
        <v>6508</v>
      </c>
      <c r="E1112" s="168" t="s">
        <v>2294</v>
      </c>
      <c r="F1112" s="168" t="s">
        <v>4623</v>
      </c>
      <c r="G1112" s="168" t="s">
        <v>4623</v>
      </c>
      <c r="H1112" s="292" t="s">
        <v>4623</v>
      </c>
      <c r="I1112" s="293" t="s">
        <v>4623</v>
      </c>
      <c r="J1112" s="293" t="s">
        <v>6509</v>
      </c>
      <c r="K1112" s="290" t="s">
        <v>6510</v>
      </c>
      <c r="L1112" s="290" t="s">
        <v>4623</v>
      </c>
      <c r="M1112" s="290" t="s">
        <v>4623</v>
      </c>
      <c r="N1112" s="290" t="s">
        <v>4623</v>
      </c>
      <c r="O1112" s="290" t="s">
        <v>4623</v>
      </c>
      <c r="P1112" s="290" t="s">
        <v>999</v>
      </c>
      <c r="Q1112" s="291" t="s">
        <v>4623</v>
      </c>
      <c r="R1112" s="276"/>
      <c r="S1112" s="277">
        <f>IF(OR(C1112="",C1112=T$4),NA(),MATCH($B1112&amp;$C1112,'Smelter Reference List'!$J:$J,0))</f>
        <v>442</v>
      </c>
      <c r="T1112" s="278"/>
      <c r="U1112" s="278"/>
      <c r="V1112" s="278"/>
      <c r="W1112" s="278"/>
    </row>
    <row r="1113" spans="1:23" s="269" customFormat="1" ht="20.25">
      <c r="A1113" s="267"/>
      <c r="B1113" s="275" t="s">
        <v>2437</v>
      </c>
      <c r="C1113" s="275" t="s">
        <v>3831</v>
      </c>
      <c r="D1113" s="168" t="s">
        <v>6511</v>
      </c>
      <c r="E1113" s="168" t="s">
        <v>2294</v>
      </c>
      <c r="F1113" s="168" t="s">
        <v>4623</v>
      </c>
      <c r="G1113" s="168" t="s">
        <v>4623</v>
      </c>
      <c r="H1113" s="292" t="s">
        <v>4623</v>
      </c>
      <c r="I1113" s="293" t="s">
        <v>4623</v>
      </c>
      <c r="J1113" s="293" t="s">
        <v>4623</v>
      </c>
      <c r="K1113" s="290" t="s">
        <v>4623</v>
      </c>
      <c r="L1113" s="290" t="s">
        <v>4623</v>
      </c>
      <c r="M1113" s="290" t="s">
        <v>4623</v>
      </c>
      <c r="N1113" s="290" t="s">
        <v>4623</v>
      </c>
      <c r="O1113" s="290" t="s">
        <v>4623</v>
      </c>
      <c r="P1113" s="290" t="s">
        <v>999</v>
      </c>
      <c r="Q1113" s="291" t="s">
        <v>4623</v>
      </c>
      <c r="R1113" s="276"/>
      <c r="S1113" s="277">
        <f>IF(OR(C1113="",C1113=T$4),NA(),MATCH($B1113&amp;$C1113,'Smelter Reference List'!$J:$J,0))</f>
        <v>442</v>
      </c>
      <c r="T1113" s="278"/>
      <c r="U1113" s="278"/>
      <c r="V1113" s="278"/>
      <c r="W1113" s="278"/>
    </row>
    <row r="1114" spans="1:23" s="269" customFormat="1" ht="20.25">
      <c r="A1114" s="267"/>
      <c r="B1114" s="275" t="s">
        <v>2437</v>
      </c>
      <c r="C1114" s="275" t="s">
        <v>3831</v>
      </c>
      <c r="D1114" s="168" t="s">
        <v>6512</v>
      </c>
      <c r="E1114" s="168" t="s">
        <v>2294</v>
      </c>
      <c r="F1114" s="168" t="s">
        <v>4623</v>
      </c>
      <c r="G1114" s="168" t="s">
        <v>4623</v>
      </c>
      <c r="H1114" s="292" t="s">
        <v>4623</v>
      </c>
      <c r="I1114" s="293" t="s">
        <v>4623</v>
      </c>
      <c r="J1114" s="293" t="s">
        <v>4623</v>
      </c>
      <c r="K1114" s="290" t="s">
        <v>4623</v>
      </c>
      <c r="L1114" s="290" t="s">
        <v>4623</v>
      </c>
      <c r="M1114" s="290" t="s">
        <v>4623</v>
      </c>
      <c r="N1114" s="290" t="s">
        <v>4623</v>
      </c>
      <c r="O1114" s="290" t="s">
        <v>4623</v>
      </c>
      <c r="P1114" s="290" t="s">
        <v>999</v>
      </c>
      <c r="Q1114" s="291" t="s">
        <v>4623</v>
      </c>
      <c r="R1114" s="276"/>
      <c r="S1114" s="277">
        <f>IF(OR(C1114="",C1114=T$4),NA(),MATCH($B1114&amp;$C1114,'Smelter Reference List'!$J:$J,0))</f>
        <v>442</v>
      </c>
      <c r="T1114" s="278"/>
      <c r="U1114" s="278"/>
      <c r="V1114" s="278"/>
      <c r="W1114" s="278"/>
    </row>
    <row r="1115" spans="1:23" s="269" customFormat="1" ht="20.25">
      <c r="A1115" s="267"/>
      <c r="B1115" s="275" t="s">
        <v>2437</v>
      </c>
      <c r="C1115" s="275" t="s">
        <v>3831</v>
      </c>
      <c r="D1115" s="168" t="s">
        <v>6513</v>
      </c>
      <c r="E1115" s="168" t="s">
        <v>2294</v>
      </c>
      <c r="F1115" s="168" t="s">
        <v>4623</v>
      </c>
      <c r="G1115" s="168" t="s">
        <v>4623</v>
      </c>
      <c r="H1115" s="292" t="s">
        <v>4623</v>
      </c>
      <c r="I1115" s="293" t="s">
        <v>4623</v>
      </c>
      <c r="J1115" s="293" t="s">
        <v>4623</v>
      </c>
      <c r="K1115" s="290" t="s">
        <v>4623</v>
      </c>
      <c r="L1115" s="290" t="s">
        <v>4623</v>
      </c>
      <c r="M1115" s="290" t="s">
        <v>4623</v>
      </c>
      <c r="N1115" s="290" t="s">
        <v>4623</v>
      </c>
      <c r="O1115" s="290" t="s">
        <v>4623</v>
      </c>
      <c r="P1115" s="290" t="s">
        <v>999</v>
      </c>
      <c r="Q1115" s="291" t="s">
        <v>4623</v>
      </c>
      <c r="R1115" s="276"/>
      <c r="S1115" s="277">
        <f>IF(OR(C1115="",C1115=T$4),NA(),MATCH($B1115&amp;$C1115,'Smelter Reference List'!$J:$J,0))</f>
        <v>442</v>
      </c>
      <c r="T1115" s="278"/>
      <c r="U1115" s="278"/>
      <c r="V1115" s="278"/>
      <c r="W1115" s="278"/>
    </row>
    <row r="1116" spans="1:23" s="269" customFormat="1" ht="20.25">
      <c r="A1116" s="267"/>
      <c r="B1116" s="275" t="s">
        <v>2437</v>
      </c>
      <c r="C1116" s="275" t="s">
        <v>3831</v>
      </c>
      <c r="D1116" s="168" t="s">
        <v>6514</v>
      </c>
      <c r="E1116" s="168" t="s">
        <v>2294</v>
      </c>
      <c r="F1116" s="168" t="s">
        <v>4623</v>
      </c>
      <c r="G1116" s="168" t="s">
        <v>4623</v>
      </c>
      <c r="H1116" s="292" t="s">
        <v>4623</v>
      </c>
      <c r="I1116" s="293" t="s">
        <v>4623</v>
      </c>
      <c r="J1116" s="293" t="s">
        <v>4623</v>
      </c>
      <c r="K1116" s="290" t="s">
        <v>4623</v>
      </c>
      <c r="L1116" s="290" t="s">
        <v>4623</v>
      </c>
      <c r="M1116" s="290" t="s">
        <v>4623</v>
      </c>
      <c r="N1116" s="290" t="s">
        <v>4623</v>
      </c>
      <c r="O1116" s="290" t="s">
        <v>4623</v>
      </c>
      <c r="P1116" s="290" t="s">
        <v>999</v>
      </c>
      <c r="Q1116" s="291" t="s">
        <v>4623</v>
      </c>
      <c r="R1116" s="276"/>
      <c r="S1116" s="277">
        <f>IF(OR(C1116="",C1116=T$4),NA(),MATCH($B1116&amp;$C1116,'Smelter Reference List'!$J:$J,0))</f>
        <v>442</v>
      </c>
      <c r="T1116" s="278"/>
      <c r="U1116" s="278"/>
      <c r="V1116" s="278"/>
      <c r="W1116" s="278"/>
    </row>
    <row r="1117" spans="1:23" s="269" customFormat="1" ht="20.25">
      <c r="A1117" s="267"/>
      <c r="B1117" s="275" t="s">
        <v>2437</v>
      </c>
      <c r="C1117" s="275" t="s">
        <v>3831</v>
      </c>
      <c r="D1117" s="168" t="s">
        <v>6515</v>
      </c>
      <c r="E1117" s="168" t="s">
        <v>2294</v>
      </c>
      <c r="F1117" s="168" t="s">
        <v>4623</v>
      </c>
      <c r="G1117" s="168" t="s">
        <v>4623</v>
      </c>
      <c r="H1117" s="292" t="s">
        <v>4623</v>
      </c>
      <c r="I1117" s="293" t="s">
        <v>4623</v>
      </c>
      <c r="J1117" s="293" t="s">
        <v>4623</v>
      </c>
      <c r="K1117" s="290" t="s">
        <v>4623</v>
      </c>
      <c r="L1117" s="290" t="s">
        <v>4623</v>
      </c>
      <c r="M1117" s="290" t="s">
        <v>4623</v>
      </c>
      <c r="N1117" s="290" t="s">
        <v>4623</v>
      </c>
      <c r="O1117" s="290" t="s">
        <v>4623</v>
      </c>
      <c r="P1117" s="290" t="s">
        <v>999</v>
      </c>
      <c r="Q1117" s="291" t="s">
        <v>4623</v>
      </c>
      <c r="R1117" s="276"/>
      <c r="S1117" s="277">
        <f>IF(OR(C1117="",C1117=T$4),NA(),MATCH($B1117&amp;$C1117,'Smelter Reference List'!$J:$J,0))</f>
        <v>442</v>
      </c>
      <c r="T1117" s="278"/>
      <c r="U1117" s="278"/>
      <c r="V1117" s="278"/>
      <c r="W1117" s="278"/>
    </row>
    <row r="1118" spans="1:23" s="269" customFormat="1" ht="20.25">
      <c r="A1118" s="267"/>
      <c r="B1118" s="275" t="s">
        <v>2437</v>
      </c>
      <c r="C1118" s="275" t="s">
        <v>3831</v>
      </c>
      <c r="D1118" s="168" t="s">
        <v>6516</v>
      </c>
      <c r="E1118" s="168" t="s">
        <v>2294</v>
      </c>
      <c r="F1118" s="168" t="s">
        <v>4623</v>
      </c>
      <c r="G1118" s="168" t="s">
        <v>4623</v>
      </c>
      <c r="H1118" s="292" t="s">
        <v>4623</v>
      </c>
      <c r="I1118" s="293" t="s">
        <v>4623</v>
      </c>
      <c r="J1118" s="293" t="s">
        <v>4623</v>
      </c>
      <c r="K1118" s="290" t="s">
        <v>4623</v>
      </c>
      <c r="L1118" s="290" t="s">
        <v>4623</v>
      </c>
      <c r="M1118" s="290" t="s">
        <v>4623</v>
      </c>
      <c r="N1118" s="290" t="s">
        <v>4623</v>
      </c>
      <c r="O1118" s="290" t="s">
        <v>4623</v>
      </c>
      <c r="P1118" s="290" t="s">
        <v>999</v>
      </c>
      <c r="Q1118" s="291" t="s">
        <v>4623</v>
      </c>
      <c r="R1118" s="276"/>
      <c r="S1118" s="277">
        <f>IF(OR(C1118="",C1118=T$4),NA(),MATCH($B1118&amp;$C1118,'Smelter Reference List'!$J:$J,0))</f>
        <v>442</v>
      </c>
      <c r="T1118" s="278"/>
      <c r="U1118" s="278"/>
      <c r="V1118" s="278"/>
      <c r="W1118" s="278"/>
    </row>
    <row r="1119" spans="1:23" s="269" customFormat="1" ht="20.25">
      <c r="A1119" s="267"/>
      <c r="B1119" s="275" t="s">
        <v>2437</v>
      </c>
      <c r="C1119" s="275" t="s">
        <v>3831</v>
      </c>
      <c r="D1119" s="168" t="s">
        <v>6517</v>
      </c>
      <c r="E1119" s="168" t="s">
        <v>2294</v>
      </c>
      <c r="F1119" s="168" t="s">
        <v>4623</v>
      </c>
      <c r="G1119" s="168" t="s">
        <v>4623</v>
      </c>
      <c r="H1119" s="292" t="s">
        <v>4623</v>
      </c>
      <c r="I1119" s="293" t="s">
        <v>4623</v>
      </c>
      <c r="J1119" s="293" t="s">
        <v>4623</v>
      </c>
      <c r="K1119" s="290" t="s">
        <v>4623</v>
      </c>
      <c r="L1119" s="290" t="s">
        <v>4623</v>
      </c>
      <c r="M1119" s="290" t="s">
        <v>4623</v>
      </c>
      <c r="N1119" s="290" t="s">
        <v>4623</v>
      </c>
      <c r="O1119" s="290" t="s">
        <v>4623</v>
      </c>
      <c r="P1119" s="290" t="s">
        <v>999</v>
      </c>
      <c r="Q1119" s="291" t="s">
        <v>4623</v>
      </c>
      <c r="R1119" s="276"/>
      <c r="S1119" s="277">
        <f>IF(OR(C1119="",C1119=T$4),NA(),MATCH($B1119&amp;$C1119,'Smelter Reference List'!$J:$J,0))</f>
        <v>442</v>
      </c>
      <c r="T1119" s="278"/>
      <c r="U1119" s="278"/>
      <c r="V1119" s="278"/>
      <c r="W1119" s="278"/>
    </row>
    <row r="1120" spans="1:23" s="269" customFormat="1" ht="20.25">
      <c r="A1120" s="267"/>
      <c r="B1120" s="275" t="s">
        <v>2437</v>
      </c>
      <c r="C1120" s="275" t="s">
        <v>3831</v>
      </c>
      <c r="D1120" s="168" t="s">
        <v>6518</v>
      </c>
      <c r="E1120" s="168" t="s">
        <v>2294</v>
      </c>
      <c r="F1120" s="168" t="s">
        <v>4623</v>
      </c>
      <c r="G1120" s="168" t="s">
        <v>4623</v>
      </c>
      <c r="H1120" s="292" t="s">
        <v>4623</v>
      </c>
      <c r="I1120" s="293" t="s">
        <v>4623</v>
      </c>
      <c r="J1120" s="293" t="s">
        <v>4623</v>
      </c>
      <c r="K1120" s="290" t="s">
        <v>4623</v>
      </c>
      <c r="L1120" s="290" t="s">
        <v>4623</v>
      </c>
      <c r="M1120" s="290" t="s">
        <v>4623</v>
      </c>
      <c r="N1120" s="290" t="s">
        <v>4623</v>
      </c>
      <c r="O1120" s="290" t="s">
        <v>4623</v>
      </c>
      <c r="P1120" s="290" t="s">
        <v>999</v>
      </c>
      <c r="Q1120" s="291" t="s">
        <v>4623</v>
      </c>
      <c r="R1120" s="276"/>
      <c r="S1120" s="277">
        <f>IF(OR(C1120="",C1120=T$4),NA(),MATCH($B1120&amp;$C1120,'Smelter Reference List'!$J:$J,0))</f>
        <v>442</v>
      </c>
      <c r="T1120" s="278"/>
      <c r="U1120" s="278"/>
      <c r="V1120" s="278"/>
      <c r="W1120" s="278"/>
    </row>
    <row r="1121" spans="1:23" s="269" customFormat="1" ht="20.25">
      <c r="A1121" s="267"/>
      <c r="B1121" s="275" t="s">
        <v>2437</v>
      </c>
      <c r="C1121" s="275" t="s">
        <v>3831</v>
      </c>
      <c r="D1121" s="168" t="s">
        <v>6519</v>
      </c>
      <c r="E1121" s="168" t="s">
        <v>2294</v>
      </c>
      <c r="F1121" s="168" t="s">
        <v>4623</v>
      </c>
      <c r="G1121" s="168" t="s">
        <v>4623</v>
      </c>
      <c r="H1121" s="292" t="s">
        <v>4623</v>
      </c>
      <c r="I1121" s="293" t="s">
        <v>4623</v>
      </c>
      <c r="J1121" s="293" t="s">
        <v>4623</v>
      </c>
      <c r="K1121" s="290" t="s">
        <v>4623</v>
      </c>
      <c r="L1121" s="290" t="s">
        <v>4623</v>
      </c>
      <c r="M1121" s="290" t="s">
        <v>4623</v>
      </c>
      <c r="N1121" s="290" t="s">
        <v>4623</v>
      </c>
      <c r="O1121" s="290" t="s">
        <v>4623</v>
      </c>
      <c r="P1121" s="290" t="s">
        <v>999</v>
      </c>
      <c r="Q1121" s="291" t="s">
        <v>4623</v>
      </c>
      <c r="R1121" s="276"/>
      <c r="S1121" s="277">
        <f>IF(OR(C1121="",C1121=T$4),NA(),MATCH($B1121&amp;$C1121,'Smelter Reference List'!$J:$J,0))</f>
        <v>442</v>
      </c>
      <c r="T1121" s="278"/>
      <c r="U1121" s="278"/>
      <c r="V1121" s="278"/>
      <c r="W1121" s="278"/>
    </row>
    <row r="1122" spans="1:23" s="269" customFormat="1" ht="20.25">
      <c r="A1122" s="267"/>
      <c r="B1122" s="275" t="s">
        <v>2437</v>
      </c>
      <c r="C1122" s="275" t="s">
        <v>3831</v>
      </c>
      <c r="D1122" s="168" t="s">
        <v>6520</v>
      </c>
      <c r="E1122" s="168" t="s">
        <v>2294</v>
      </c>
      <c r="F1122" s="168" t="s">
        <v>4623</v>
      </c>
      <c r="G1122" s="168" t="s">
        <v>4623</v>
      </c>
      <c r="H1122" s="292" t="s">
        <v>4623</v>
      </c>
      <c r="I1122" s="293" t="s">
        <v>4623</v>
      </c>
      <c r="J1122" s="293" t="s">
        <v>4623</v>
      </c>
      <c r="K1122" s="290" t="s">
        <v>4623</v>
      </c>
      <c r="L1122" s="290" t="s">
        <v>4623</v>
      </c>
      <c r="M1122" s="290" t="s">
        <v>4623</v>
      </c>
      <c r="N1122" s="290" t="s">
        <v>4623</v>
      </c>
      <c r="O1122" s="290" t="s">
        <v>4623</v>
      </c>
      <c r="P1122" s="290" t="s">
        <v>999</v>
      </c>
      <c r="Q1122" s="291" t="s">
        <v>4623</v>
      </c>
      <c r="R1122" s="276"/>
      <c r="S1122" s="277">
        <f>IF(OR(C1122="",C1122=T$4),NA(),MATCH($B1122&amp;$C1122,'Smelter Reference List'!$J:$J,0))</f>
        <v>442</v>
      </c>
      <c r="T1122" s="278"/>
      <c r="U1122" s="278"/>
      <c r="V1122" s="278"/>
      <c r="W1122" s="278"/>
    </row>
    <row r="1123" spans="1:23" s="269" customFormat="1" ht="20.25">
      <c r="A1123" s="267"/>
      <c r="B1123" s="275" t="s">
        <v>2437</v>
      </c>
      <c r="C1123" s="275" t="s">
        <v>3831</v>
      </c>
      <c r="D1123" s="168" t="s">
        <v>6521</v>
      </c>
      <c r="E1123" s="168" t="s">
        <v>2294</v>
      </c>
      <c r="F1123" s="168" t="s">
        <v>4623</v>
      </c>
      <c r="G1123" s="168" t="s">
        <v>4623</v>
      </c>
      <c r="H1123" s="292" t="s">
        <v>4623</v>
      </c>
      <c r="I1123" s="293" t="s">
        <v>4623</v>
      </c>
      <c r="J1123" s="293" t="s">
        <v>4623</v>
      </c>
      <c r="K1123" s="290" t="s">
        <v>4623</v>
      </c>
      <c r="L1123" s="290" t="s">
        <v>4623</v>
      </c>
      <c r="M1123" s="290" t="s">
        <v>4623</v>
      </c>
      <c r="N1123" s="290" t="s">
        <v>4623</v>
      </c>
      <c r="O1123" s="290" t="s">
        <v>4623</v>
      </c>
      <c r="P1123" s="290" t="s">
        <v>999</v>
      </c>
      <c r="Q1123" s="291" t="s">
        <v>4623</v>
      </c>
      <c r="R1123" s="276"/>
      <c r="S1123" s="277">
        <f>IF(OR(C1123="",C1123=T$4),NA(),MATCH($B1123&amp;$C1123,'Smelter Reference List'!$J:$J,0))</f>
        <v>442</v>
      </c>
      <c r="T1123" s="278"/>
      <c r="U1123" s="278"/>
      <c r="V1123" s="278"/>
      <c r="W1123" s="278"/>
    </row>
    <row r="1124" spans="1:23" s="269" customFormat="1" ht="20.25">
      <c r="A1124" s="267"/>
      <c r="B1124" s="275" t="s">
        <v>2437</v>
      </c>
      <c r="C1124" s="275" t="s">
        <v>3831</v>
      </c>
      <c r="D1124" s="168" t="s">
        <v>6522</v>
      </c>
      <c r="E1124" s="168" t="s">
        <v>2294</v>
      </c>
      <c r="F1124" s="168" t="s">
        <v>4623</v>
      </c>
      <c r="G1124" s="168" t="s">
        <v>4623</v>
      </c>
      <c r="H1124" s="292" t="s">
        <v>4623</v>
      </c>
      <c r="I1124" s="293" t="s">
        <v>4623</v>
      </c>
      <c r="J1124" s="293" t="s">
        <v>4623</v>
      </c>
      <c r="K1124" s="290" t="s">
        <v>4623</v>
      </c>
      <c r="L1124" s="290" t="s">
        <v>4623</v>
      </c>
      <c r="M1124" s="290" t="s">
        <v>4623</v>
      </c>
      <c r="N1124" s="290" t="s">
        <v>4623</v>
      </c>
      <c r="O1124" s="290" t="s">
        <v>4623</v>
      </c>
      <c r="P1124" s="290" t="s">
        <v>999</v>
      </c>
      <c r="Q1124" s="291" t="s">
        <v>4623</v>
      </c>
      <c r="R1124" s="276"/>
      <c r="S1124" s="277">
        <f>IF(OR(C1124="",C1124=T$4),NA(),MATCH($B1124&amp;$C1124,'Smelter Reference List'!$J:$J,0))</f>
        <v>442</v>
      </c>
      <c r="T1124" s="278"/>
      <c r="U1124" s="278"/>
      <c r="V1124" s="278"/>
      <c r="W1124" s="278"/>
    </row>
    <row r="1125" spans="1:23" s="269" customFormat="1" ht="20.25">
      <c r="A1125" s="267"/>
      <c r="B1125" s="275" t="s">
        <v>2437</v>
      </c>
      <c r="C1125" s="275" t="s">
        <v>3831</v>
      </c>
      <c r="D1125" s="168" t="s">
        <v>6523</v>
      </c>
      <c r="E1125" s="168" t="s">
        <v>2294</v>
      </c>
      <c r="F1125" s="168" t="s">
        <v>4623</v>
      </c>
      <c r="G1125" s="168" t="s">
        <v>4623</v>
      </c>
      <c r="H1125" s="292" t="s">
        <v>6524</v>
      </c>
      <c r="I1125" s="293" t="s">
        <v>4964</v>
      </c>
      <c r="J1125" s="293" t="s">
        <v>4956</v>
      </c>
      <c r="K1125" s="290" t="s">
        <v>4623</v>
      </c>
      <c r="L1125" s="290" t="s">
        <v>4623</v>
      </c>
      <c r="M1125" s="290" t="s">
        <v>4623</v>
      </c>
      <c r="N1125" s="290" t="s">
        <v>4623</v>
      </c>
      <c r="O1125" s="290" t="s">
        <v>4623</v>
      </c>
      <c r="P1125" s="290" t="s">
        <v>999</v>
      </c>
      <c r="Q1125" s="291" t="s">
        <v>4623</v>
      </c>
      <c r="R1125" s="276"/>
      <c r="S1125" s="277">
        <f>IF(OR(C1125="",C1125=T$4),NA(),MATCH($B1125&amp;$C1125,'Smelter Reference List'!$J:$J,0))</f>
        <v>442</v>
      </c>
      <c r="T1125" s="278"/>
      <c r="U1125" s="278"/>
      <c r="V1125" s="278"/>
      <c r="W1125" s="278"/>
    </row>
    <row r="1126" spans="1:23" s="269" customFormat="1" ht="20.25">
      <c r="A1126" s="267"/>
      <c r="B1126" s="275" t="s">
        <v>2437</v>
      </c>
      <c r="C1126" s="275" t="s">
        <v>3831</v>
      </c>
      <c r="D1126" s="168" t="s">
        <v>6525</v>
      </c>
      <c r="E1126" s="168" t="s">
        <v>2294</v>
      </c>
      <c r="F1126" s="168" t="s">
        <v>4623</v>
      </c>
      <c r="G1126" s="168" t="s">
        <v>4623</v>
      </c>
      <c r="H1126" s="292" t="s">
        <v>4623</v>
      </c>
      <c r="I1126" s="293" t="s">
        <v>4623</v>
      </c>
      <c r="J1126" s="293" t="s">
        <v>4623</v>
      </c>
      <c r="K1126" s="290" t="s">
        <v>4623</v>
      </c>
      <c r="L1126" s="290" t="s">
        <v>4623</v>
      </c>
      <c r="M1126" s="290" t="s">
        <v>4623</v>
      </c>
      <c r="N1126" s="290" t="s">
        <v>4623</v>
      </c>
      <c r="O1126" s="290" t="s">
        <v>4623</v>
      </c>
      <c r="P1126" s="290" t="s">
        <v>999</v>
      </c>
      <c r="Q1126" s="291" t="s">
        <v>4623</v>
      </c>
      <c r="R1126" s="276"/>
      <c r="S1126" s="277">
        <f>IF(OR(C1126="",C1126=T$4),NA(),MATCH($B1126&amp;$C1126,'Smelter Reference List'!$J:$J,0))</f>
        <v>442</v>
      </c>
      <c r="T1126" s="278"/>
      <c r="U1126" s="278"/>
      <c r="V1126" s="278"/>
      <c r="W1126" s="278"/>
    </row>
    <row r="1127" spans="1:23" s="269" customFormat="1" ht="20.25">
      <c r="A1127" s="267"/>
      <c r="B1127" s="275" t="s">
        <v>2437</v>
      </c>
      <c r="C1127" s="275" t="s">
        <v>3831</v>
      </c>
      <c r="D1127" s="168" t="s">
        <v>6526</v>
      </c>
      <c r="E1127" s="168" t="s">
        <v>2294</v>
      </c>
      <c r="F1127" s="168" t="s">
        <v>4623</v>
      </c>
      <c r="G1127" s="168" t="s">
        <v>4623</v>
      </c>
      <c r="H1127" s="292" t="s">
        <v>6527</v>
      </c>
      <c r="I1127" s="293" t="s">
        <v>6528</v>
      </c>
      <c r="J1127" s="293" t="s">
        <v>6529</v>
      </c>
      <c r="K1127" s="290" t="s">
        <v>6530</v>
      </c>
      <c r="L1127" s="290" t="s">
        <v>6531</v>
      </c>
      <c r="M1127" s="290" t="s">
        <v>4623</v>
      </c>
      <c r="N1127" s="290" t="s">
        <v>4623</v>
      </c>
      <c r="O1127" s="290" t="s">
        <v>4623</v>
      </c>
      <c r="P1127" s="290" t="s">
        <v>999</v>
      </c>
      <c r="Q1127" s="291" t="s">
        <v>4623</v>
      </c>
      <c r="R1127" s="276"/>
      <c r="S1127" s="277">
        <f>IF(OR(C1127="",C1127=T$4),NA(),MATCH($B1127&amp;$C1127,'Smelter Reference List'!$J:$J,0))</f>
        <v>442</v>
      </c>
      <c r="T1127" s="278"/>
      <c r="U1127" s="278"/>
      <c r="V1127" s="278"/>
      <c r="W1127" s="278"/>
    </row>
    <row r="1128" spans="1:23" s="269" customFormat="1" ht="20.25">
      <c r="A1128" s="267"/>
      <c r="B1128" s="275" t="s">
        <v>2437</v>
      </c>
      <c r="C1128" s="275" t="s">
        <v>3831</v>
      </c>
      <c r="D1128" s="168" t="s">
        <v>4941</v>
      </c>
      <c r="E1128" s="168" t="s">
        <v>2294</v>
      </c>
      <c r="F1128" s="168" t="s">
        <v>4623</v>
      </c>
      <c r="G1128" s="168" t="s">
        <v>4623</v>
      </c>
      <c r="H1128" s="292" t="s">
        <v>4623</v>
      </c>
      <c r="I1128" s="293" t="s">
        <v>4623</v>
      </c>
      <c r="J1128" s="293" t="s">
        <v>4623</v>
      </c>
      <c r="K1128" s="290" t="s">
        <v>4623</v>
      </c>
      <c r="L1128" s="290" t="s">
        <v>4623</v>
      </c>
      <c r="M1128" s="290" t="s">
        <v>4623</v>
      </c>
      <c r="N1128" s="290" t="s">
        <v>4623</v>
      </c>
      <c r="O1128" s="290" t="s">
        <v>4623</v>
      </c>
      <c r="P1128" s="290" t="s">
        <v>999</v>
      </c>
      <c r="Q1128" s="291" t="s">
        <v>4623</v>
      </c>
      <c r="R1128" s="276"/>
      <c r="S1128" s="277">
        <f>IF(OR(C1128="",C1128=T$4),NA(),MATCH($B1128&amp;$C1128,'Smelter Reference List'!$J:$J,0))</f>
        <v>442</v>
      </c>
      <c r="T1128" s="278"/>
      <c r="U1128" s="278"/>
      <c r="V1128" s="278"/>
      <c r="W1128" s="278"/>
    </row>
    <row r="1129" spans="1:23" s="269" customFormat="1" ht="20.25">
      <c r="A1129" s="267"/>
      <c r="B1129" s="275" t="s">
        <v>2437</v>
      </c>
      <c r="C1129" s="275" t="s">
        <v>3831</v>
      </c>
      <c r="D1129" s="168" t="s">
        <v>6532</v>
      </c>
      <c r="E1129" s="168" t="s">
        <v>2294</v>
      </c>
      <c r="F1129" s="168" t="s">
        <v>4623</v>
      </c>
      <c r="G1129" s="168" t="s">
        <v>4623</v>
      </c>
      <c r="H1129" s="292" t="s">
        <v>4623</v>
      </c>
      <c r="I1129" s="293" t="s">
        <v>4623</v>
      </c>
      <c r="J1129" s="293" t="s">
        <v>4623</v>
      </c>
      <c r="K1129" s="290" t="s">
        <v>4623</v>
      </c>
      <c r="L1129" s="290" t="s">
        <v>4623</v>
      </c>
      <c r="M1129" s="290" t="s">
        <v>4623</v>
      </c>
      <c r="N1129" s="290" t="s">
        <v>4623</v>
      </c>
      <c r="O1129" s="290" t="s">
        <v>4623</v>
      </c>
      <c r="P1129" s="290" t="s">
        <v>999</v>
      </c>
      <c r="Q1129" s="291" t="s">
        <v>4623</v>
      </c>
      <c r="R1129" s="276"/>
      <c r="S1129" s="277">
        <f>IF(OR(C1129="",C1129=T$4),NA(),MATCH($B1129&amp;$C1129,'Smelter Reference List'!$J:$J,0))</f>
        <v>442</v>
      </c>
      <c r="T1129" s="278"/>
      <c r="U1129" s="278"/>
      <c r="V1129" s="278"/>
      <c r="W1129" s="278"/>
    </row>
    <row r="1130" spans="1:23" s="269" customFormat="1" ht="20.25">
      <c r="A1130" s="267"/>
      <c r="B1130" s="275" t="s">
        <v>2437</v>
      </c>
      <c r="C1130" s="275" t="s">
        <v>3831</v>
      </c>
      <c r="D1130" s="168" t="s">
        <v>5762</v>
      </c>
      <c r="E1130" s="168" t="s">
        <v>2294</v>
      </c>
      <c r="F1130" s="168" t="s">
        <v>4623</v>
      </c>
      <c r="G1130" s="168" t="s">
        <v>4623</v>
      </c>
      <c r="H1130" s="292" t="s">
        <v>4623</v>
      </c>
      <c r="I1130" s="293" t="s">
        <v>4623</v>
      </c>
      <c r="J1130" s="293" t="s">
        <v>4623</v>
      </c>
      <c r="K1130" s="290" t="s">
        <v>4623</v>
      </c>
      <c r="L1130" s="290" t="s">
        <v>4623</v>
      </c>
      <c r="M1130" s="290" t="s">
        <v>4623</v>
      </c>
      <c r="N1130" s="290" t="s">
        <v>4623</v>
      </c>
      <c r="O1130" s="290" t="s">
        <v>4623</v>
      </c>
      <c r="P1130" s="290" t="s">
        <v>999</v>
      </c>
      <c r="Q1130" s="291" t="s">
        <v>4623</v>
      </c>
      <c r="R1130" s="276"/>
      <c r="S1130" s="277">
        <f>IF(OR(C1130="",C1130=T$4),NA(),MATCH($B1130&amp;$C1130,'Smelter Reference List'!$J:$J,0))</f>
        <v>442</v>
      </c>
      <c r="T1130" s="278"/>
      <c r="U1130" s="278"/>
      <c r="V1130" s="278"/>
      <c r="W1130" s="278"/>
    </row>
    <row r="1131" spans="1:23" s="269" customFormat="1" ht="20.25">
      <c r="A1131" s="267"/>
      <c r="B1131" s="275" t="s">
        <v>2437</v>
      </c>
      <c r="C1131" s="275" t="s">
        <v>3831</v>
      </c>
      <c r="D1131" s="168" t="s">
        <v>6533</v>
      </c>
      <c r="E1131" s="168" t="s">
        <v>2294</v>
      </c>
      <c r="F1131" s="168" t="s">
        <v>4623</v>
      </c>
      <c r="G1131" s="168" t="s">
        <v>4623</v>
      </c>
      <c r="H1131" s="292" t="s">
        <v>4623</v>
      </c>
      <c r="I1131" s="293" t="s">
        <v>4623</v>
      </c>
      <c r="J1131" s="293" t="s">
        <v>4623</v>
      </c>
      <c r="K1131" s="290" t="s">
        <v>4623</v>
      </c>
      <c r="L1131" s="290" t="s">
        <v>4623</v>
      </c>
      <c r="M1131" s="290" t="s">
        <v>6377</v>
      </c>
      <c r="N1131" s="290" t="s">
        <v>5000</v>
      </c>
      <c r="O1131" s="290" t="s">
        <v>5000</v>
      </c>
      <c r="P1131" s="290" t="s">
        <v>999</v>
      </c>
      <c r="Q1131" s="291" t="s">
        <v>4623</v>
      </c>
      <c r="R1131" s="276"/>
      <c r="S1131" s="277">
        <f>IF(OR(C1131="",C1131=T$4),NA(),MATCH($B1131&amp;$C1131,'Smelter Reference List'!$J:$J,0))</f>
        <v>442</v>
      </c>
      <c r="T1131" s="278"/>
      <c r="U1131" s="278"/>
      <c r="V1131" s="278"/>
      <c r="W1131" s="278"/>
    </row>
    <row r="1132" spans="1:23" s="269" customFormat="1" ht="20.25">
      <c r="A1132" s="267"/>
      <c r="B1132" s="275" t="s">
        <v>2437</v>
      </c>
      <c r="C1132" s="275" t="s">
        <v>3831</v>
      </c>
      <c r="D1132" s="168" t="s">
        <v>4560</v>
      </c>
      <c r="E1132" s="168" t="s">
        <v>2294</v>
      </c>
      <c r="F1132" s="168" t="s">
        <v>4623</v>
      </c>
      <c r="G1132" s="168" t="s">
        <v>4623</v>
      </c>
      <c r="H1132" s="292" t="s">
        <v>4623</v>
      </c>
      <c r="I1132" s="293" t="s">
        <v>4623</v>
      </c>
      <c r="J1132" s="293" t="s">
        <v>4623</v>
      </c>
      <c r="K1132" s="290" t="s">
        <v>4623</v>
      </c>
      <c r="L1132" s="290" t="s">
        <v>4623</v>
      </c>
      <c r="M1132" s="290" t="s">
        <v>4623</v>
      </c>
      <c r="N1132" s="290" t="s">
        <v>4623</v>
      </c>
      <c r="O1132" s="290" t="s">
        <v>4623</v>
      </c>
      <c r="P1132" s="290" t="s">
        <v>999</v>
      </c>
      <c r="Q1132" s="291" t="s">
        <v>4623</v>
      </c>
      <c r="R1132" s="276"/>
      <c r="S1132" s="277">
        <f>IF(OR(C1132="",C1132=T$4),NA(),MATCH($B1132&amp;$C1132,'Smelter Reference List'!$J:$J,0))</f>
        <v>442</v>
      </c>
      <c r="T1132" s="278"/>
      <c r="U1132" s="278"/>
      <c r="V1132" s="278"/>
      <c r="W1132" s="278"/>
    </row>
    <row r="1133" spans="1:23" s="269" customFormat="1" ht="20.25">
      <c r="A1133" s="267"/>
      <c r="B1133" s="275" t="s">
        <v>2437</v>
      </c>
      <c r="C1133" s="275" t="s">
        <v>3831</v>
      </c>
      <c r="D1133" s="168" t="s">
        <v>6534</v>
      </c>
      <c r="E1133" s="168" t="s">
        <v>2294</v>
      </c>
      <c r="F1133" s="168" t="s">
        <v>4623</v>
      </c>
      <c r="G1133" s="168" t="s">
        <v>4623</v>
      </c>
      <c r="H1133" s="292" t="s">
        <v>4623</v>
      </c>
      <c r="I1133" s="293" t="s">
        <v>4623</v>
      </c>
      <c r="J1133" s="293" t="s">
        <v>4623</v>
      </c>
      <c r="K1133" s="290" t="s">
        <v>4623</v>
      </c>
      <c r="L1133" s="290" t="s">
        <v>4623</v>
      </c>
      <c r="M1133" s="290" t="s">
        <v>6377</v>
      </c>
      <c r="N1133" s="290" t="s">
        <v>5000</v>
      </c>
      <c r="O1133" s="290" t="s">
        <v>5000</v>
      </c>
      <c r="P1133" s="290" t="s">
        <v>999</v>
      </c>
      <c r="Q1133" s="291" t="s">
        <v>4623</v>
      </c>
      <c r="R1133" s="276"/>
      <c r="S1133" s="277">
        <f>IF(OR(C1133="",C1133=T$4),NA(),MATCH($B1133&amp;$C1133,'Smelter Reference List'!$J:$J,0))</f>
        <v>442</v>
      </c>
      <c r="T1133" s="278"/>
      <c r="U1133" s="278"/>
      <c r="V1133" s="278"/>
      <c r="W1133" s="278"/>
    </row>
    <row r="1134" spans="1:23" s="269" customFormat="1" ht="20.25">
      <c r="A1134" s="267"/>
      <c r="B1134" s="275" t="s">
        <v>2437</v>
      </c>
      <c r="C1134" s="275" t="s">
        <v>3831</v>
      </c>
      <c r="D1134" s="168" t="s">
        <v>6535</v>
      </c>
      <c r="E1134" s="168" t="s">
        <v>2294</v>
      </c>
      <c r="F1134" s="168" t="s">
        <v>4623</v>
      </c>
      <c r="G1134" s="168" t="s">
        <v>4623</v>
      </c>
      <c r="H1134" s="292" t="s">
        <v>4623</v>
      </c>
      <c r="I1134" s="293" t="s">
        <v>4623</v>
      </c>
      <c r="J1134" s="293" t="s">
        <v>4623</v>
      </c>
      <c r="K1134" s="290" t="s">
        <v>4623</v>
      </c>
      <c r="L1134" s="290" t="s">
        <v>4623</v>
      </c>
      <c r="M1134" s="290" t="s">
        <v>4623</v>
      </c>
      <c r="N1134" s="290" t="s">
        <v>4623</v>
      </c>
      <c r="O1134" s="290" t="s">
        <v>4623</v>
      </c>
      <c r="P1134" s="290" t="s">
        <v>999</v>
      </c>
      <c r="Q1134" s="291" t="s">
        <v>4623</v>
      </c>
      <c r="R1134" s="276"/>
      <c r="S1134" s="277">
        <f>IF(OR(C1134="",C1134=T$4),NA(),MATCH($B1134&amp;$C1134,'Smelter Reference List'!$J:$J,0))</f>
        <v>442</v>
      </c>
      <c r="T1134" s="278"/>
      <c r="U1134" s="278"/>
      <c r="V1134" s="278"/>
      <c r="W1134" s="278"/>
    </row>
    <row r="1135" spans="1:23" s="269" customFormat="1" ht="20.25">
      <c r="A1135" s="267"/>
      <c r="B1135" s="275" t="s">
        <v>2437</v>
      </c>
      <c r="C1135" s="275" t="s">
        <v>3831</v>
      </c>
      <c r="D1135" s="168" t="s">
        <v>6536</v>
      </c>
      <c r="E1135" s="168" t="s">
        <v>2294</v>
      </c>
      <c r="F1135" s="168" t="s">
        <v>4623</v>
      </c>
      <c r="G1135" s="168" t="s">
        <v>4623</v>
      </c>
      <c r="H1135" s="292" t="s">
        <v>4623</v>
      </c>
      <c r="I1135" s="293" t="s">
        <v>4623</v>
      </c>
      <c r="J1135" s="293" t="s">
        <v>4623</v>
      </c>
      <c r="K1135" s="290" t="s">
        <v>4623</v>
      </c>
      <c r="L1135" s="290" t="s">
        <v>4623</v>
      </c>
      <c r="M1135" s="290" t="s">
        <v>4623</v>
      </c>
      <c r="N1135" s="290" t="s">
        <v>4623</v>
      </c>
      <c r="O1135" s="290" t="s">
        <v>4623</v>
      </c>
      <c r="P1135" s="290" t="s">
        <v>999</v>
      </c>
      <c r="Q1135" s="291" t="s">
        <v>4623</v>
      </c>
      <c r="R1135" s="276"/>
      <c r="S1135" s="277">
        <f>IF(OR(C1135="",C1135=T$4),NA(),MATCH($B1135&amp;$C1135,'Smelter Reference List'!$J:$J,0))</f>
        <v>442</v>
      </c>
      <c r="T1135" s="278"/>
      <c r="U1135" s="278"/>
      <c r="V1135" s="278"/>
      <c r="W1135" s="278"/>
    </row>
    <row r="1136" spans="1:23" s="269" customFormat="1" ht="20.25">
      <c r="A1136" s="267"/>
      <c r="B1136" s="275" t="s">
        <v>2437</v>
      </c>
      <c r="C1136" s="275" t="s">
        <v>3831</v>
      </c>
      <c r="D1136" s="168" t="s">
        <v>6537</v>
      </c>
      <c r="E1136" s="168" t="s">
        <v>2294</v>
      </c>
      <c r="F1136" s="168" t="s">
        <v>4623</v>
      </c>
      <c r="G1136" s="168" t="s">
        <v>4623</v>
      </c>
      <c r="H1136" s="292" t="s">
        <v>4623</v>
      </c>
      <c r="I1136" s="293" t="s">
        <v>4623</v>
      </c>
      <c r="J1136" s="293" t="s">
        <v>4623</v>
      </c>
      <c r="K1136" s="290" t="s">
        <v>4623</v>
      </c>
      <c r="L1136" s="290" t="s">
        <v>4623</v>
      </c>
      <c r="M1136" s="290" t="s">
        <v>4623</v>
      </c>
      <c r="N1136" s="290" t="s">
        <v>4623</v>
      </c>
      <c r="O1136" s="290" t="s">
        <v>4623</v>
      </c>
      <c r="P1136" s="290" t="s">
        <v>999</v>
      </c>
      <c r="Q1136" s="291" t="s">
        <v>4623</v>
      </c>
      <c r="R1136" s="276"/>
      <c r="S1136" s="277">
        <f>IF(OR(C1136="",C1136=T$4),NA(),MATCH($B1136&amp;$C1136,'Smelter Reference List'!$J:$J,0))</f>
        <v>442</v>
      </c>
      <c r="T1136" s="278"/>
      <c r="U1136" s="278"/>
      <c r="V1136" s="278"/>
      <c r="W1136" s="278"/>
    </row>
    <row r="1137" spans="1:23" s="269" customFormat="1" ht="20.25">
      <c r="A1137" s="267"/>
      <c r="B1137" s="275" t="s">
        <v>2437</v>
      </c>
      <c r="C1137" s="275" t="s">
        <v>3831</v>
      </c>
      <c r="D1137" s="168" t="s">
        <v>6538</v>
      </c>
      <c r="E1137" s="168" t="s">
        <v>2294</v>
      </c>
      <c r="F1137" s="168" t="s">
        <v>4623</v>
      </c>
      <c r="G1137" s="168" t="s">
        <v>4623</v>
      </c>
      <c r="H1137" s="292" t="s">
        <v>4623</v>
      </c>
      <c r="I1137" s="293" t="s">
        <v>4623</v>
      </c>
      <c r="J1137" s="293" t="s">
        <v>4623</v>
      </c>
      <c r="K1137" s="290" t="s">
        <v>4623</v>
      </c>
      <c r="L1137" s="290" t="s">
        <v>4623</v>
      </c>
      <c r="M1137" s="290" t="s">
        <v>4623</v>
      </c>
      <c r="N1137" s="290" t="s">
        <v>4623</v>
      </c>
      <c r="O1137" s="290" t="s">
        <v>4623</v>
      </c>
      <c r="P1137" s="290" t="s">
        <v>999</v>
      </c>
      <c r="Q1137" s="291" t="s">
        <v>4623</v>
      </c>
      <c r="R1137" s="276"/>
      <c r="S1137" s="277">
        <f>IF(OR(C1137="",C1137=T$4),NA(),MATCH($B1137&amp;$C1137,'Smelter Reference List'!$J:$J,0))</f>
        <v>442</v>
      </c>
      <c r="T1137" s="278"/>
      <c r="U1137" s="278"/>
      <c r="V1137" s="278"/>
      <c r="W1137" s="278"/>
    </row>
    <row r="1138" spans="1:23" s="269" customFormat="1" ht="20.25">
      <c r="A1138" s="267"/>
      <c r="B1138" s="275" t="s">
        <v>2437</v>
      </c>
      <c r="C1138" s="275" t="s">
        <v>3831</v>
      </c>
      <c r="D1138" s="168" t="s">
        <v>6539</v>
      </c>
      <c r="E1138" s="168" t="s">
        <v>2294</v>
      </c>
      <c r="F1138" s="168" t="s">
        <v>4623</v>
      </c>
      <c r="G1138" s="168" t="s">
        <v>4623</v>
      </c>
      <c r="H1138" s="292" t="s">
        <v>4623</v>
      </c>
      <c r="I1138" s="293" t="s">
        <v>4623</v>
      </c>
      <c r="J1138" s="293" t="s">
        <v>4623</v>
      </c>
      <c r="K1138" s="290" t="s">
        <v>4623</v>
      </c>
      <c r="L1138" s="290" t="s">
        <v>4623</v>
      </c>
      <c r="M1138" s="290" t="s">
        <v>4623</v>
      </c>
      <c r="N1138" s="290" t="s">
        <v>4623</v>
      </c>
      <c r="O1138" s="290" t="s">
        <v>4623</v>
      </c>
      <c r="P1138" s="290" t="s">
        <v>999</v>
      </c>
      <c r="Q1138" s="291" t="s">
        <v>4623</v>
      </c>
      <c r="R1138" s="276"/>
      <c r="S1138" s="277">
        <f>IF(OR(C1138="",C1138=T$4),NA(),MATCH($B1138&amp;$C1138,'Smelter Reference List'!$J:$J,0))</f>
        <v>442</v>
      </c>
      <c r="T1138" s="278"/>
      <c r="U1138" s="278"/>
      <c r="V1138" s="278"/>
      <c r="W1138" s="278"/>
    </row>
    <row r="1139" spans="1:23" s="269" customFormat="1" ht="20.25">
      <c r="A1139" s="267"/>
      <c r="B1139" s="275" t="s">
        <v>2437</v>
      </c>
      <c r="C1139" s="275" t="s">
        <v>3831</v>
      </c>
      <c r="D1139" s="168" t="s">
        <v>6540</v>
      </c>
      <c r="E1139" s="168" t="s">
        <v>2294</v>
      </c>
      <c r="F1139" s="168" t="s">
        <v>4623</v>
      </c>
      <c r="G1139" s="168" t="s">
        <v>4623</v>
      </c>
      <c r="H1139" s="292" t="s">
        <v>4623</v>
      </c>
      <c r="I1139" s="293" t="s">
        <v>4623</v>
      </c>
      <c r="J1139" s="293" t="s">
        <v>4623</v>
      </c>
      <c r="K1139" s="290" t="s">
        <v>4623</v>
      </c>
      <c r="L1139" s="290" t="s">
        <v>4623</v>
      </c>
      <c r="M1139" s="290" t="s">
        <v>4623</v>
      </c>
      <c r="N1139" s="290" t="s">
        <v>4623</v>
      </c>
      <c r="O1139" s="290" t="s">
        <v>4623</v>
      </c>
      <c r="P1139" s="290" t="s">
        <v>999</v>
      </c>
      <c r="Q1139" s="291" t="s">
        <v>4623</v>
      </c>
      <c r="R1139" s="276"/>
      <c r="S1139" s="277">
        <f>IF(OR(C1139="",C1139=T$4),NA(),MATCH($B1139&amp;$C1139,'Smelter Reference List'!$J:$J,0))</f>
        <v>442</v>
      </c>
      <c r="T1139" s="278"/>
      <c r="U1139" s="278"/>
      <c r="V1139" s="278"/>
      <c r="W1139" s="278"/>
    </row>
    <row r="1140" spans="1:23" s="269" customFormat="1" ht="20.25">
      <c r="A1140" s="267"/>
      <c r="B1140" s="275" t="s">
        <v>2437</v>
      </c>
      <c r="C1140" s="275" t="s">
        <v>3831</v>
      </c>
      <c r="D1140" s="168" t="s">
        <v>6541</v>
      </c>
      <c r="E1140" s="168" t="s">
        <v>2294</v>
      </c>
      <c r="F1140" s="168" t="s">
        <v>4623</v>
      </c>
      <c r="G1140" s="168" t="s">
        <v>4623</v>
      </c>
      <c r="H1140" s="292" t="s">
        <v>4623</v>
      </c>
      <c r="I1140" s="293" t="s">
        <v>4623</v>
      </c>
      <c r="J1140" s="293" t="s">
        <v>4623</v>
      </c>
      <c r="K1140" s="290" t="s">
        <v>4623</v>
      </c>
      <c r="L1140" s="290" t="s">
        <v>4623</v>
      </c>
      <c r="M1140" s="290" t="s">
        <v>4623</v>
      </c>
      <c r="N1140" s="290" t="s">
        <v>4623</v>
      </c>
      <c r="O1140" s="290" t="s">
        <v>4623</v>
      </c>
      <c r="P1140" s="290" t="s">
        <v>999</v>
      </c>
      <c r="Q1140" s="291" t="s">
        <v>4623</v>
      </c>
      <c r="R1140" s="276"/>
      <c r="S1140" s="277">
        <f>IF(OR(C1140="",C1140=T$4),NA(),MATCH($B1140&amp;$C1140,'Smelter Reference List'!$J:$J,0))</f>
        <v>442</v>
      </c>
      <c r="T1140" s="278"/>
      <c r="U1140" s="278"/>
      <c r="V1140" s="278"/>
      <c r="W1140" s="278"/>
    </row>
    <row r="1141" spans="1:23" s="269" customFormat="1" ht="20.25">
      <c r="A1141" s="267"/>
      <c r="B1141" s="275" t="s">
        <v>2437</v>
      </c>
      <c r="C1141" s="275" t="s">
        <v>3831</v>
      </c>
      <c r="D1141" s="168" t="s">
        <v>6542</v>
      </c>
      <c r="E1141" s="168" t="s">
        <v>2294</v>
      </c>
      <c r="F1141" s="168" t="s">
        <v>4623</v>
      </c>
      <c r="G1141" s="168" t="s">
        <v>4623</v>
      </c>
      <c r="H1141" s="292" t="s">
        <v>4623</v>
      </c>
      <c r="I1141" s="293" t="s">
        <v>4623</v>
      </c>
      <c r="J1141" s="293" t="s">
        <v>4623</v>
      </c>
      <c r="K1141" s="290" t="s">
        <v>4623</v>
      </c>
      <c r="L1141" s="290" t="s">
        <v>4623</v>
      </c>
      <c r="M1141" s="290" t="s">
        <v>4623</v>
      </c>
      <c r="N1141" s="290" t="s">
        <v>4623</v>
      </c>
      <c r="O1141" s="290" t="s">
        <v>4623</v>
      </c>
      <c r="P1141" s="290" t="s">
        <v>999</v>
      </c>
      <c r="Q1141" s="291" t="s">
        <v>4623</v>
      </c>
      <c r="R1141" s="276"/>
      <c r="S1141" s="277">
        <f>IF(OR(C1141="",C1141=T$4),NA(),MATCH($B1141&amp;$C1141,'Smelter Reference List'!$J:$J,0))</f>
        <v>442</v>
      </c>
      <c r="T1141" s="278"/>
      <c r="U1141" s="278"/>
      <c r="V1141" s="278"/>
      <c r="W1141" s="278"/>
    </row>
    <row r="1142" spans="1:23" s="269" customFormat="1" ht="20.25">
      <c r="A1142" s="267"/>
      <c r="B1142" s="275" t="s">
        <v>2437</v>
      </c>
      <c r="C1142" s="275" t="s">
        <v>3831</v>
      </c>
      <c r="D1142" s="168" t="s">
        <v>6086</v>
      </c>
      <c r="E1142" s="168" t="s">
        <v>2294</v>
      </c>
      <c r="F1142" s="168" t="s">
        <v>4623</v>
      </c>
      <c r="G1142" s="168" t="s">
        <v>4623</v>
      </c>
      <c r="H1142" s="292" t="s">
        <v>4623</v>
      </c>
      <c r="I1142" s="293" t="s">
        <v>4623</v>
      </c>
      <c r="J1142" s="293" t="s">
        <v>4623</v>
      </c>
      <c r="K1142" s="290" t="s">
        <v>4623</v>
      </c>
      <c r="L1142" s="290" t="s">
        <v>4623</v>
      </c>
      <c r="M1142" s="290" t="s">
        <v>4623</v>
      </c>
      <c r="N1142" s="290" t="s">
        <v>4623</v>
      </c>
      <c r="O1142" s="290" t="s">
        <v>4623</v>
      </c>
      <c r="P1142" s="290" t="s">
        <v>999</v>
      </c>
      <c r="Q1142" s="291" t="s">
        <v>4623</v>
      </c>
      <c r="R1142" s="276"/>
      <c r="S1142" s="277">
        <f>IF(OR(C1142="",C1142=T$4),NA(),MATCH($B1142&amp;$C1142,'Smelter Reference List'!$J:$J,0))</f>
        <v>442</v>
      </c>
      <c r="T1142" s="278"/>
      <c r="U1142" s="278"/>
      <c r="V1142" s="278"/>
      <c r="W1142" s="278"/>
    </row>
    <row r="1143" spans="1:23" s="269" customFormat="1" ht="20.25">
      <c r="A1143" s="267"/>
      <c r="B1143" s="275" t="s">
        <v>2437</v>
      </c>
      <c r="C1143" s="275" t="s">
        <v>3831</v>
      </c>
      <c r="D1143" s="168" t="s">
        <v>6543</v>
      </c>
      <c r="E1143" s="168" t="s">
        <v>2294</v>
      </c>
      <c r="F1143" s="168" t="s">
        <v>4623</v>
      </c>
      <c r="G1143" s="168" t="s">
        <v>4623</v>
      </c>
      <c r="H1143" s="292" t="s">
        <v>4623</v>
      </c>
      <c r="I1143" s="293" t="s">
        <v>4623</v>
      </c>
      <c r="J1143" s="293" t="s">
        <v>4623</v>
      </c>
      <c r="K1143" s="290" t="s">
        <v>4623</v>
      </c>
      <c r="L1143" s="290" t="s">
        <v>4623</v>
      </c>
      <c r="M1143" s="290" t="s">
        <v>4623</v>
      </c>
      <c r="N1143" s="290" t="s">
        <v>4623</v>
      </c>
      <c r="O1143" s="290" t="s">
        <v>4623</v>
      </c>
      <c r="P1143" s="290" t="s">
        <v>999</v>
      </c>
      <c r="Q1143" s="291" t="s">
        <v>4623</v>
      </c>
      <c r="R1143" s="276"/>
      <c r="S1143" s="277">
        <f>IF(OR(C1143="",C1143=T$4),NA(),MATCH($B1143&amp;$C1143,'Smelter Reference List'!$J:$J,0))</f>
        <v>442</v>
      </c>
      <c r="T1143" s="278"/>
      <c r="U1143" s="278"/>
      <c r="V1143" s="278"/>
      <c r="W1143" s="278"/>
    </row>
    <row r="1144" spans="1:23" s="269" customFormat="1" ht="20.25">
      <c r="A1144" s="267"/>
      <c r="B1144" s="275" t="s">
        <v>2437</v>
      </c>
      <c r="C1144" s="275" t="s">
        <v>3831</v>
      </c>
      <c r="D1144" s="168" t="s">
        <v>6544</v>
      </c>
      <c r="E1144" s="168" t="s">
        <v>2294</v>
      </c>
      <c r="F1144" s="168" t="s">
        <v>4623</v>
      </c>
      <c r="G1144" s="168" t="s">
        <v>4623</v>
      </c>
      <c r="H1144" s="292" t="s">
        <v>4623</v>
      </c>
      <c r="I1144" s="293" t="s">
        <v>4623</v>
      </c>
      <c r="J1144" s="293" t="s">
        <v>4623</v>
      </c>
      <c r="K1144" s="290" t="s">
        <v>4623</v>
      </c>
      <c r="L1144" s="290" t="s">
        <v>4623</v>
      </c>
      <c r="M1144" s="290" t="s">
        <v>4623</v>
      </c>
      <c r="N1144" s="290" t="s">
        <v>4623</v>
      </c>
      <c r="O1144" s="290" t="s">
        <v>4623</v>
      </c>
      <c r="P1144" s="290" t="s">
        <v>999</v>
      </c>
      <c r="Q1144" s="291" t="s">
        <v>4623</v>
      </c>
      <c r="R1144" s="276"/>
      <c r="S1144" s="277">
        <f>IF(OR(C1144="",C1144=T$4),NA(),MATCH($B1144&amp;$C1144,'Smelter Reference List'!$J:$J,0))</f>
        <v>442</v>
      </c>
      <c r="T1144" s="278"/>
      <c r="U1144" s="278"/>
      <c r="V1144" s="278"/>
      <c r="W1144" s="278"/>
    </row>
    <row r="1145" spans="1:23" s="269" customFormat="1" ht="20.25">
      <c r="A1145" s="267"/>
      <c r="B1145" s="275" t="s">
        <v>2437</v>
      </c>
      <c r="C1145" s="275" t="s">
        <v>3831</v>
      </c>
      <c r="D1145" s="168" t="s">
        <v>6545</v>
      </c>
      <c r="E1145" s="168" t="s">
        <v>2294</v>
      </c>
      <c r="F1145" s="168" t="s">
        <v>4623</v>
      </c>
      <c r="G1145" s="168" t="s">
        <v>4623</v>
      </c>
      <c r="H1145" s="292" t="s">
        <v>4623</v>
      </c>
      <c r="I1145" s="293" t="s">
        <v>4623</v>
      </c>
      <c r="J1145" s="293" t="s">
        <v>4623</v>
      </c>
      <c r="K1145" s="290" t="s">
        <v>4623</v>
      </c>
      <c r="L1145" s="290" t="s">
        <v>4623</v>
      </c>
      <c r="M1145" s="290" t="s">
        <v>4623</v>
      </c>
      <c r="N1145" s="290" t="s">
        <v>4623</v>
      </c>
      <c r="O1145" s="290" t="s">
        <v>4623</v>
      </c>
      <c r="P1145" s="290" t="s">
        <v>999</v>
      </c>
      <c r="Q1145" s="291" t="s">
        <v>4623</v>
      </c>
      <c r="R1145" s="276"/>
      <c r="S1145" s="277">
        <f>IF(OR(C1145="",C1145=T$4),NA(),MATCH($B1145&amp;$C1145,'Smelter Reference List'!$J:$J,0))</f>
        <v>442</v>
      </c>
      <c r="T1145" s="278"/>
      <c r="U1145" s="278"/>
      <c r="V1145" s="278"/>
      <c r="W1145" s="278"/>
    </row>
    <row r="1146" spans="1:23" s="269" customFormat="1" ht="20.25">
      <c r="A1146" s="267"/>
      <c r="B1146" s="275" t="s">
        <v>2437</v>
      </c>
      <c r="C1146" s="275" t="s">
        <v>3831</v>
      </c>
      <c r="D1146" s="168" t="s">
        <v>6546</v>
      </c>
      <c r="E1146" s="168" t="s">
        <v>2294</v>
      </c>
      <c r="F1146" s="168" t="s">
        <v>4623</v>
      </c>
      <c r="G1146" s="168" t="s">
        <v>4623</v>
      </c>
      <c r="H1146" s="292" t="s">
        <v>4623</v>
      </c>
      <c r="I1146" s="293" t="s">
        <v>4623</v>
      </c>
      <c r="J1146" s="293" t="s">
        <v>4623</v>
      </c>
      <c r="K1146" s="290" t="s">
        <v>4623</v>
      </c>
      <c r="L1146" s="290" t="s">
        <v>4623</v>
      </c>
      <c r="M1146" s="290" t="s">
        <v>4623</v>
      </c>
      <c r="N1146" s="290" t="s">
        <v>4623</v>
      </c>
      <c r="O1146" s="290" t="s">
        <v>4623</v>
      </c>
      <c r="P1146" s="290" t="s">
        <v>999</v>
      </c>
      <c r="Q1146" s="291" t="s">
        <v>4623</v>
      </c>
      <c r="R1146" s="276"/>
      <c r="S1146" s="277">
        <f>IF(OR(C1146="",C1146=T$4),NA(),MATCH($B1146&amp;$C1146,'Smelter Reference List'!$J:$J,0))</f>
        <v>442</v>
      </c>
      <c r="T1146" s="278"/>
      <c r="U1146" s="278"/>
      <c r="V1146" s="278"/>
      <c r="W1146" s="278"/>
    </row>
    <row r="1147" spans="1:23" s="269" customFormat="1" ht="20.25">
      <c r="A1147" s="267"/>
      <c r="B1147" s="275" t="s">
        <v>2437</v>
      </c>
      <c r="C1147" s="275" t="s">
        <v>3831</v>
      </c>
      <c r="D1147" s="168" t="s">
        <v>6547</v>
      </c>
      <c r="E1147" s="168" t="s">
        <v>2294</v>
      </c>
      <c r="F1147" s="168" t="s">
        <v>4623</v>
      </c>
      <c r="G1147" s="168" t="s">
        <v>4623</v>
      </c>
      <c r="H1147" s="292" t="s">
        <v>4623</v>
      </c>
      <c r="I1147" s="293" t="s">
        <v>4623</v>
      </c>
      <c r="J1147" s="293" t="s">
        <v>4623</v>
      </c>
      <c r="K1147" s="290" t="s">
        <v>4623</v>
      </c>
      <c r="L1147" s="290" t="s">
        <v>4623</v>
      </c>
      <c r="M1147" s="290" t="s">
        <v>4623</v>
      </c>
      <c r="N1147" s="290" t="s">
        <v>4623</v>
      </c>
      <c r="O1147" s="290" t="s">
        <v>4623</v>
      </c>
      <c r="P1147" s="290" t="s">
        <v>999</v>
      </c>
      <c r="Q1147" s="291" t="s">
        <v>4623</v>
      </c>
      <c r="R1147" s="276"/>
      <c r="S1147" s="277">
        <f>IF(OR(C1147="",C1147=T$4),NA(),MATCH($B1147&amp;$C1147,'Smelter Reference List'!$J:$J,0))</f>
        <v>442</v>
      </c>
      <c r="T1147" s="278"/>
      <c r="U1147" s="278"/>
      <c r="V1147" s="278"/>
      <c r="W1147" s="278"/>
    </row>
    <row r="1148" spans="1:23" s="269" customFormat="1" ht="20.25">
      <c r="A1148" s="267"/>
      <c r="B1148" s="275" t="s">
        <v>2437</v>
      </c>
      <c r="C1148" s="275" t="s">
        <v>3831</v>
      </c>
      <c r="D1148" s="168" t="s">
        <v>6548</v>
      </c>
      <c r="E1148" s="168" t="s">
        <v>2294</v>
      </c>
      <c r="F1148" s="168" t="s">
        <v>4623</v>
      </c>
      <c r="G1148" s="168" t="s">
        <v>4623</v>
      </c>
      <c r="H1148" s="292" t="s">
        <v>4623</v>
      </c>
      <c r="I1148" s="293" t="s">
        <v>4623</v>
      </c>
      <c r="J1148" s="293" t="s">
        <v>4623</v>
      </c>
      <c r="K1148" s="290" t="s">
        <v>4623</v>
      </c>
      <c r="L1148" s="290" t="s">
        <v>4623</v>
      </c>
      <c r="M1148" s="290" t="s">
        <v>4623</v>
      </c>
      <c r="N1148" s="290" t="s">
        <v>4623</v>
      </c>
      <c r="O1148" s="290" t="s">
        <v>4623</v>
      </c>
      <c r="P1148" s="290" t="s">
        <v>999</v>
      </c>
      <c r="Q1148" s="291" t="s">
        <v>4623</v>
      </c>
      <c r="R1148" s="276"/>
      <c r="S1148" s="277">
        <f>IF(OR(C1148="",C1148=T$4),NA(),MATCH($B1148&amp;$C1148,'Smelter Reference List'!$J:$J,0))</f>
        <v>442</v>
      </c>
      <c r="T1148" s="278"/>
      <c r="U1148" s="278"/>
      <c r="V1148" s="278"/>
      <c r="W1148" s="278"/>
    </row>
    <row r="1149" spans="1:23" s="269" customFormat="1" ht="20.25">
      <c r="A1149" s="267"/>
      <c r="B1149" s="275" t="s">
        <v>2437</v>
      </c>
      <c r="C1149" s="275" t="s">
        <v>3831</v>
      </c>
      <c r="D1149" s="168" t="s">
        <v>6549</v>
      </c>
      <c r="E1149" s="168" t="s">
        <v>2294</v>
      </c>
      <c r="F1149" s="168" t="s">
        <v>4623</v>
      </c>
      <c r="G1149" s="168" t="s">
        <v>4623</v>
      </c>
      <c r="H1149" s="292" t="s">
        <v>4623</v>
      </c>
      <c r="I1149" s="293" t="s">
        <v>4623</v>
      </c>
      <c r="J1149" s="293" t="s">
        <v>4623</v>
      </c>
      <c r="K1149" s="290" t="s">
        <v>4623</v>
      </c>
      <c r="L1149" s="290" t="s">
        <v>4623</v>
      </c>
      <c r="M1149" s="290" t="s">
        <v>4623</v>
      </c>
      <c r="N1149" s="290" t="s">
        <v>4623</v>
      </c>
      <c r="O1149" s="290" t="s">
        <v>4623</v>
      </c>
      <c r="P1149" s="290" t="s">
        <v>999</v>
      </c>
      <c r="Q1149" s="291" t="s">
        <v>4623</v>
      </c>
      <c r="R1149" s="276"/>
      <c r="S1149" s="277">
        <f>IF(OR(C1149="",C1149=T$4),NA(),MATCH($B1149&amp;$C1149,'Smelter Reference List'!$J:$J,0))</f>
        <v>442</v>
      </c>
      <c r="T1149" s="278"/>
      <c r="U1149" s="278"/>
      <c r="V1149" s="278"/>
      <c r="W1149" s="278"/>
    </row>
    <row r="1150" spans="1:23" s="269" customFormat="1" ht="20.25">
      <c r="A1150" s="267"/>
      <c r="B1150" s="275" t="s">
        <v>2437</v>
      </c>
      <c r="C1150" s="275" t="s">
        <v>3831</v>
      </c>
      <c r="D1150" s="168" t="s">
        <v>6550</v>
      </c>
      <c r="E1150" s="168" t="s">
        <v>2294</v>
      </c>
      <c r="F1150" s="168" t="s">
        <v>4623</v>
      </c>
      <c r="G1150" s="168" t="s">
        <v>4623</v>
      </c>
      <c r="H1150" s="292" t="s">
        <v>4623</v>
      </c>
      <c r="I1150" s="293" t="s">
        <v>4623</v>
      </c>
      <c r="J1150" s="293" t="s">
        <v>4623</v>
      </c>
      <c r="K1150" s="290" t="s">
        <v>4623</v>
      </c>
      <c r="L1150" s="290" t="s">
        <v>4623</v>
      </c>
      <c r="M1150" s="290" t="s">
        <v>4623</v>
      </c>
      <c r="N1150" s="290" t="s">
        <v>4623</v>
      </c>
      <c r="O1150" s="290" t="s">
        <v>4623</v>
      </c>
      <c r="P1150" s="290" t="s">
        <v>999</v>
      </c>
      <c r="Q1150" s="291" t="s">
        <v>4623</v>
      </c>
      <c r="R1150" s="276"/>
      <c r="S1150" s="277">
        <f>IF(OR(C1150="",C1150=T$4),NA(),MATCH($B1150&amp;$C1150,'Smelter Reference List'!$J:$J,0))</f>
        <v>442</v>
      </c>
      <c r="T1150" s="278"/>
      <c r="U1150" s="278"/>
      <c r="V1150" s="278"/>
      <c r="W1150" s="278"/>
    </row>
    <row r="1151" spans="1:23" s="269" customFormat="1" ht="20.25">
      <c r="A1151" s="267"/>
      <c r="B1151" s="275" t="s">
        <v>2437</v>
      </c>
      <c r="C1151" s="275" t="s">
        <v>3831</v>
      </c>
      <c r="D1151" s="168" t="s">
        <v>6551</v>
      </c>
      <c r="E1151" s="168" t="s">
        <v>2294</v>
      </c>
      <c r="F1151" s="168" t="s">
        <v>4623</v>
      </c>
      <c r="G1151" s="168" t="s">
        <v>4623</v>
      </c>
      <c r="H1151" s="292" t="s">
        <v>4623</v>
      </c>
      <c r="I1151" s="293" t="s">
        <v>4623</v>
      </c>
      <c r="J1151" s="293" t="s">
        <v>4623</v>
      </c>
      <c r="K1151" s="290" t="s">
        <v>4623</v>
      </c>
      <c r="L1151" s="290" t="s">
        <v>4623</v>
      </c>
      <c r="M1151" s="290" t="s">
        <v>4623</v>
      </c>
      <c r="N1151" s="290" t="s">
        <v>4623</v>
      </c>
      <c r="O1151" s="290" t="s">
        <v>4623</v>
      </c>
      <c r="P1151" s="290" t="s">
        <v>999</v>
      </c>
      <c r="Q1151" s="291" t="s">
        <v>4623</v>
      </c>
      <c r="R1151" s="276"/>
      <c r="S1151" s="277">
        <f>IF(OR(C1151="",C1151=T$4),NA(),MATCH($B1151&amp;$C1151,'Smelter Reference List'!$J:$J,0))</f>
        <v>442</v>
      </c>
      <c r="T1151" s="278"/>
      <c r="U1151" s="278"/>
      <c r="V1151" s="278"/>
      <c r="W1151" s="278"/>
    </row>
    <row r="1152" spans="1:23" s="269" customFormat="1" ht="20.25">
      <c r="A1152" s="267"/>
      <c r="B1152" s="275" t="s">
        <v>2437</v>
      </c>
      <c r="C1152" s="275" t="s">
        <v>3831</v>
      </c>
      <c r="D1152" s="168" t="s">
        <v>6552</v>
      </c>
      <c r="E1152" s="168" t="s">
        <v>2294</v>
      </c>
      <c r="F1152" s="168" t="s">
        <v>4623</v>
      </c>
      <c r="G1152" s="168" t="s">
        <v>4623</v>
      </c>
      <c r="H1152" s="292" t="s">
        <v>4623</v>
      </c>
      <c r="I1152" s="293" t="s">
        <v>4623</v>
      </c>
      <c r="J1152" s="293" t="s">
        <v>4623</v>
      </c>
      <c r="K1152" s="290" t="s">
        <v>4623</v>
      </c>
      <c r="L1152" s="290" t="s">
        <v>4623</v>
      </c>
      <c r="M1152" s="290" t="s">
        <v>4623</v>
      </c>
      <c r="N1152" s="290" t="s">
        <v>4623</v>
      </c>
      <c r="O1152" s="290" t="s">
        <v>4623</v>
      </c>
      <c r="P1152" s="290" t="s">
        <v>999</v>
      </c>
      <c r="Q1152" s="291" t="s">
        <v>4623</v>
      </c>
      <c r="R1152" s="276"/>
      <c r="S1152" s="277">
        <f>IF(OR(C1152="",C1152=T$4),NA(),MATCH($B1152&amp;$C1152,'Smelter Reference List'!$J:$J,0))</f>
        <v>442</v>
      </c>
      <c r="T1152" s="278"/>
      <c r="U1152" s="278"/>
      <c r="V1152" s="278"/>
      <c r="W1152" s="278"/>
    </row>
    <row r="1153" spans="1:23" s="269" customFormat="1" ht="20.25">
      <c r="A1153" s="267"/>
      <c r="B1153" s="275" t="s">
        <v>2437</v>
      </c>
      <c r="C1153" s="275" t="s">
        <v>3831</v>
      </c>
      <c r="D1153" s="168" t="s">
        <v>6553</v>
      </c>
      <c r="E1153" s="168" t="s">
        <v>2294</v>
      </c>
      <c r="F1153" s="168" t="s">
        <v>4623</v>
      </c>
      <c r="G1153" s="168" t="s">
        <v>4623</v>
      </c>
      <c r="H1153" s="292" t="s">
        <v>4623</v>
      </c>
      <c r="I1153" s="293" t="s">
        <v>4623</v>
      </c>
      <c r="J1153" s="293" t="s">
        <v>4623</v>
      </c>
      <c r="K1153" s="290" t="s">
        <v>4623</v>
      </c>
      <c r="L1153" s="290" t="s">
        <v>4623</v>
      </c>
      <c r="M1153" s="290" t="s">
        <v>4623</v>
      </c>
      <c r="N1153" s="290" t="s">
        <v>4623</v>
      </c>
      <c r="O1153" s="290" t="s">
        <v>4623</v>
      </c>
      <c r="P1153" s="290" t="s">
        <v>999</v>
      </c>
      <c r="Q1153" s="291" t="s">
        <v>4623</v>
      </c>
      <c r="R1153" s="276"/>
      <c r="S1153" s="277">
        <f>IF(OR(C1153="",C1153=T$4),NA(),MATCH($B1153&amp;$C1153,'Smelter Reference List'!$J:$J,0))</f>
        <v>442</v>
      </c>
      <c r="T1153" s="278"/>
      <c r="U1153" s="278"/>
      <c r="V1153" s="278"/>
      <c r="W1153" s="278"/>
    </row>
    <row r="1154" spans="1:23" s="269" customFormat="1" ht="20.25">
      <c r="A1154" s="267"/>
      <c r="B1154" s="275" t="s">
        <v>2437</v>
      </c>
      <c r="C1154" s="275" t="s">
        <v>3831</v>
      </c>
      <c r="D1154" s="168" t="s">
        <v>3663</v>
      </c>
      <c r="E1154" s="168" t="s">
        <v>2294</v>
      </c>
      <c r="F1154" s="168" t="s">
        <v>4623</v>
      </c>
      <c r="G1154" s="168" t="s">
        <v>4623</v>
      </c>
      <c r="H1154" s="292" t="s">
        <v>4623</v>
      </c>
      <c r="I1154" s="293" t="s">
        <v>4623</v>
      </c>
      <c r="J1154" s="293" t="s">
        <v>4623</v>
      </c>
      <c r="K1154" s="290" t="s">
        <v>4623</v>
      </c>
      <c r="L1154" s="290" t="s">
        <v>4623</v>
      </c>
      <c r="M1154" s="290" t="s">
        <v>4623</v>
      </c>
      <c r="N1154" s="290" t="s">
        <v>4623</v>
      </c>
      <c r="O1154" s="290" t="s">
        <v>4623</v>
      </c>
      <c r="P1154" s="290" t="s">
        <v>999</v>
      </c>
      <c r="Q1154" s="291" t="s">
        <v>4623</v>
      </c>
      <c r="R1154" s="276"/>
      <c r="S1154" s="277">
        <f>IF(OR(C1154="",C1154=T$4),NA(),MATCH($B1154&amp;$C1154,'Smelter Reference List'!$J:$J,0))</f>
        <v>442</v>
      </c>
      <c r="T1154" s="278"/>
      <c r="U1154" s="278"/>
      <c r="V1154" s="278"/>
      <c r="W1154" s="278"/>
    </row>
    <row r="1155" spans="1:23" s="269" customFormat="1" ht="20.25">
      <c r="A1155" s="267"/>
      <c r="B1155" s="275" t="s">
        <v>2437</v>
      </c>
      <c r="C1155" s="275" t="s">
        <v>3831</v>
      </c>
      <c r="D1155" s="168" t="s">
        <v>6554</v>
      </c>
      <c r="E1155" s="168" t="s">
        <v>2294</v>
      </c>
      <c r="F1155" s="168" t="s">
        <v>4623</v>
      </c>
      <c r="G1155" s="168" t="s">
        <v>4623</v>
      </c>
      <c r="H1155" s="292" t="s">
        <v>4623</v>
      </c>
      <c r="I1155" s="293" t="s">
        <v>4623</v>
      </c>
      <c r="J1155" s="293" t="s">
        <v>4623</v>
      </c>
      <c r="K1155" s="290" t="s">
        <v>4623</v>
      </c>
      <c r="L1155" s="290" t="s">
        <v>4623</v>
      </c>
      <c r="M1155" s="290" t="s">
        <v>4623</v>
      </c>
      <c r="N1155" s="290" t="s">
        <v>4623</v>
      </c>
      <c r="O1155" s="290" t="s">
        <v>4623</v>
      </c>
      <c r="P1155" s="290" t="s">
        <v>999</v>
      </c>
      <c r="Q1155" s="291" t="s">
        <v>4623</v>
      </c>
      <c r="R1155" s="276"/>
      <c r="S1155" s="277">
        <f>IF(OR(C1155="",C1155=T$4),NA(),MATCH($B1155&amp;$C1155,'Smelter Reference List'!$J:$J,0))</f>
        <v>442</v>
      </c>
      <c r="T1155" s="278"/>
      <c r="U1155" s="278"/>
      <c r="V1155" s="278"/>
      <c r="W1155" s="278"/>
    </row>
    <row r="1156" spans="1:23" s="269" customFormat="1" ht="20.25">
      <c r="A1156" s="267"/>
      <c r="B1156" s="275" t="s">
        <v>2437</v>
      </c>
      <c r="C1156" s="275" t="s">
        <v>3831</v>
      </c>
      <c r="D1156" s="168" t="s">
        <v>6555</v>
      </c>
      <c r="E1156" s="168" t="s">
        <v>2294</v>
      </c>
      <c r="F1156" s="168" t="s">
        <v>4623</v>
      </c>
      <c r="G1156" s="168" t="s">
        <v>4623</v>
      </c>
      <c r="H1156" s="292" t="s">
        <v>4623</v>
      </c>
      <c r="I1156" s="293" t="s">
        <v>4623</v>
      </c>
      <c r="J1156" s="293" t="s">
        <v>4623</v>
      </c>
      <c r="K1156" s="290" t="s">
        <v>4623</v>
      </c>
      <c r="L1156" s="290" t="s">
        <v>4623</v>
      </c>
      <c r="M1156" s="290" t="s">
        <v>4623</v>
      </c>
      <c r="N1156" s="290" t="s">
        <v>4623</v>
      </c>
      <c r="O1156" s="290" t="s">
        <v>4623</v>
      </c>
      <c r="P1156" s="290" t="s">
        <v>999</v>
      </c>
      <c r="Q1156" s="291" t="s">
        <v>4623</v>
      </c>
      <c r="R1156" s="276"/>
      <c r="S1156" s="277">
        <f>IF(OR(C1156="",C1156=T$4),NA(),MATCH($B1156&amp;$C1156,'Smelter Reference List'!$J:$J,0))</f>
        <v>442</v>
      </c>
      <c r="T1156" s="278"/>
      <c r="U1156" s="278"/>
      <c r="V1156" s="278"/>
      <c r="W1156" s="278"/>
    </row>
    <row r="1157" spans="1:23" s="269" customFormat="1" ht="20.25">
      <c r="A1157" s="267"/>
      <c r="B1157" s="275" t="s">
        <v>2437</v>
      </c>
      <c r="C1157" s="275" t="s">
        <v>3831</v>
      </c>
      <c r="D1157" s="168" t="s">
        <v>6556</v>
      </c>
      <c r="E1157" s="168" t="s">
        <v>2294</v>
      </c>
      <c r="F1157" s="168" t="s">
        <v>4623</v>
      </c>
      <c r="G1157" s="168" t="s">
        <v>4623</v>
      </c>
      <c r="H1157" s="292" t="s">
        <v>4623</v>
      </c>
      <c r="I1157" s="293" t="s">
        <v>4623</v>
      </c>
      <c r="J1157" s="293" t="s">
        <v>4623</v>
      </c>
      <c r="K1157" s="290" t="s">
        <v>4623</v>
      </c>
      <c r="L1157" s="290" t="s">
        <v>4623</v>
      </c>
      <c r="M1157" s="290" t="s">
        <v>4623</v>
      </c>
      <c r="N1157" s="290" t="s">
        <v>4623</v>
      </c>
      <c r="O1157" s="290" t="s">
        <v>4623</v>
      </c>
      <c r="P1157" s="290" t="s">
        <v>999</v>
      </c>
      <c r="Q1157" s="291" t="s">
        <v>4623</v>
      </c>
      <c r="R1157" s="276"/>
      <c r="S1157" s="277">
        <f>IF(OR(C1157="",C1157=T$4),NA(),MATCH($B1157&amp;$C1157,'Smelter Reference List'!$J:$J,0))</f>
        <v>442</v>
      </c>
      <c r="T1157" s="278"/>
      <c r="U1157" s="278"/>
      <c r="V1157" s="278"/>
      <c r="W1157" s="278"/>
    </row>
    <row r="1158" spans="1:23" s="269" customFormat="1" ht="20.25">
      <c r="A1158" s="267"/>
      <c r="B1158" s="275" t="s">
        <v>2437</v>
      </c>
      <c r="C1158" s="275" t="s">
        <v>3831</v>
      </c>
      <c r="D1158" s="168" t="s">
        <v>6557</v>
      </c>
      <c r="E1158" s="168" t="s">
        <v>2294</v>
      </c>
      <c r="F1158" s="168" t="s">
        <v>4623</v>
      </c>
      <c r="G1158" s="168" t="s">
        <v>4623</v>
      </c>
      <c r="H1158" s="292" t="s">
        <v>4623</v>
      </c>
      <c r="I1158" s="293" t="s">
        <v>4623</v>
      </c>
      <c r="J1158" s="293" t="s">
        <v>4623</v>
      </c>
      <c r="K1158" s="290" t="s">
        <v>4623</v>
      </c>
      <c r="L1158" s="290" t="s">
        <v>4623</v>
      </c>
      <c r="M1158" s="290" t="s">
        <v>4623</v>
      </c>
      <c r="N1158" s="290" t="s">
        <v>4623</v>
      </c>
      <c r="O1158" s="290" t="s">
        <v>4623</v>
      </c>
      <c r="P1158" s="290" t="s">
        <v>999</v>
      </c>
      <c r="Q1158" s="291" t="s">
        <v>4623</v>
      </c>
      <c r="R1158" s="276"/>
      <c r="S1158" s="277">
        <f>IF(OR(C1158="",C1158=T$4),NA(),MATCH($B1158&amp;$C1158,'Smelter Reference List'!$J:$J,0))</f>
        <v>442</v>
      </c>
      <c r="T1158" s="278"/>
      <c r="U1158" s="278"/>
      <c r="V1158" s="278"/>
      <c r="W1158" s="278"/>
    </row>
    <row r="1159" spans="1:23" s="269" customFormat="1" ht="20.25">
      <c r="A1159" s="267"/>
      <c r="B1159" s="275" t="s">
        <v>2437</v>
      </c>
      <c r="C1159" s="275" t="s">
        <v>3831</v>
      </c>
      <c r="D1159" s="168" t="s">
        <v>6558</v>
      </c>
      <c r="E1159" s="168" t="s">
        <v>2294</v>
      </c>
      <c r="F1159" s="168" t="s">
        <v>4623</v>
      </c>
      <c r="G1159" s="168" t="s">
        <v>4623</v>
      </c>
      <c r="H1159" s="292" t="s">
        <v>4623</v>
      </c>
      <c r="I1159" s="293" t="s">
        <v>4623</v>
      </c>
      <c r="J1159" s="293" t="s">
        <v>4623</v>
      </c>
      <c r="K1159" s="290" t="s">
        <v>4623</v>
      </c>
      <c r="L1159" s="290" t="s">
        <v>4623</v>
      </c>
      <c r="M1159" s="290" t="s">
        <v>4623</v>
      </c>
      <c r="N1159" s="290" t="s">
        <v>4623</v>
      </c>
      <c r="O1159" s="290" t="s">
        <v>4623</v>
      </c>
      <c r="P1159" s="290" t="s">
        <v>999</v>
      </c>
      <c r="Q1159" s="291" t="s">
        <v>4623</v>
      </c>
      <c r="R1159" s="276"/>
      <c r="S1159" s="277">
        <f>IF(OR(C1159="",C1159=T$4),NA(),MATCH($B1159&amp;$C1159,'Smelter Reference List'!$J:$J,0))</f>
        <v>442</v>
      </c>
      <c r="T1159" s="278"/>
      <c r="U1159" s="278"/>
      <c r="V1159" s="278"/>
      <c r="W1159" s="278"/>
    </row>
    <row r="1160" spans="1:23" s="269" customFormat="1" ht="20.25">
      <c r="A1160" s="267"/>
      <c r="B1160" s="275" t="s">
        <v>2437</v>
      </c>
      <c r="C1160" s="275" t="s">
        <v>3831</v>
      </c>
      <c r="D1160" s="168" t="s">
        <v>6559</v>
      </c>
      <c r="E1160" s="168" t="s">
        <v>2294</v>
      </c>
      <c r="F1160" s="168" t="s">
        <v>4623</v>
      </c>
      <c r="G1160" s="168" t="s">
        <v>4623</v>
      </c>
      <c r="H1160" s="292" t="s">
        <v>4623</v>
      </c>
      <c r="I1160" s="293" t="s">
        <v>4623</v>
      </c>
      <c r="J1160" s="293" t="s">
        <v>4623</v>
      </c>
      <c r="K1160" s="290" t="s">
        <v>4623</v>
      </c>
      <c r="L1160" s="290" t="s">
        <v>4623</v>
      </c>
      <c r="M1160" s="290" t="s">
        <v>4623</v>
      </c>
      <c r="N1160" s="290" t="s">
        <v>4623</v>
      </c>
      <c r="O1160" s="290" t="s">
        <v>4667</v>
      </c>
      <c r="P1160" s="290" t="s">
        <v>999</v>
      </c>
      <c r="Q1160" s="291" t="s">
        <v>4623</v>
      </c>
      <c r="R1160" s="276"/>
      <c r="S1160" s="277">
        <f>IF(OR(C1160="",C1160=T$4),NA(),MATCH($B1160&amp;$C1160,'Smelter Reference List'!$J:$J,0))</f>
        <v>442</v>
      </c>
      <c r="T1160" s="278"/>
      <c r="U1160" s="278"/>
      <c r="V1160" s="278"/>
      <c r="W1160" s="278"/>
    </row>
    <row r="1161" spans="1:23" s="269" customFormat="1" ht="20.25">
      <c r="A1161" s="267"/>
      <c r="B1161" s="275" t="s">
        <v>2437</v>
      </c>
      <c r="C1161" s="275" t="s">
        <v>3831</v>
      </c>
      <c r="D1161" s="168" t="s">
        <v>6560</v>
      </c>
      <c r="E1161" s="168" t="s">
        <v>2294</v>
      </c>
      <c r="F1161" s="168" t="s">
        <v>4623</v>
      </c>
      <c r="G1161" s="168" t="s">
        <v>4623</v>
      </c>
      <c r="H1161" s="292" t="s">
        <v>4623</v>
      </c>
      <c r="I1161" s="293" t="s">
        <v>4623</v>
      </c>
      <c r="J1161" s="293" t="s">
        <v>4623</v>
      </c>
      <c r="K1161" s="290" t="s">
        <v>4623</v>
      </c>
      <c r="L1161" s="290" t="s">
        <v>4623</v>
      </c>
      <c r="M1161" s="290" t="s">
        <v>4623</v>
      </c>
      <c r="N1161" s="290" t="s">
        <v>4623</v>
      </c>
      <c r="O1161" s="290" t="s">
        <v>4623</v>
      </c>
      <c r="P1161" s="290" t="s">
        <v>999</v>
      </c>
      <c r="Q1161" s="291" t="s">
        <v>4623</v>
      </c>
      <c r="R1161" s="276"/>
      <c r="S1161" s="277">
        <f>IF(OR(C1161="",C1161=T$4),NA(),MATCH($B1161&amp;$C1161,'Smelter Reference List'!$J:$J,0))</f>
        <v>442</v>
      </c>
      <c r="T1161" s="278"/>
      <c r="U1161" s="278"/>
      <c r="V1161" s="278"/>
      <c r="W1161" s="278"/>
    </row>
    <row r="1162" spans="1:23" s="269" customFormat="1" ht="20.25">
      <c r="A1162" s="267"/>
      <c r="B1162" s="275" t="s">
        <v>2437</v>
      </c>
      <c r="C1162" s="275" t="s">
        <v>3831</v>
      </c>
      <c r="D1162" s="168" t="s">
        <v>6561</v>
      </c>
      <c r="E1162" s="168" t="s">
        <v>2294</v>
      </c>
      <c r="F1162" s="168" t="s">
        <v>4623</v>
      </c>
      <c r="G1162" s="168" t="s">
        <v>4623</v>
      </c>
      <c r="H1162" s="292" t="s">
        <v>4623</v>
      </c>
      <c r="I1162" s="293" t="s">
        <v>4623</v>
      </c>
      <c r="J1162" s="293" t="s">
        <v>4623</v>
      </c>
      <c r="K1162" s="290" t="s">
        <v>4623</v>
      </c>
      <c r="L1162" s="290" t="s">
        <v>4623</v>
      </c>
      <c r="M1162" s="290" t="s">
        <v>4623</v>
      </c>
      <c r="N1162" s="290" t="s">
        <v>4623</v>
      </c>
      <c r="O1162" s="290" t="s">
        <v>4623</v>
      </c>
      <c r="P1162" s="290" t="s">
        <v>999</v>
      </c>
      <c r="Q1162" s="291" t="s">
        <v>4623</v>
      </c>
      <c r="R1162" s="276"/>
      <c r="S1162" s="277">
        <f>IF(OR(C1162="",C1162=T$4),NA(),MATCH($B1162&amp;$C1162,'Smelter Reference List'!$J:$J,0))</f>
        <v>442</v>
      </c>
      <c r="T1162" s="278"/>
      <c r="U1162" s="278"/>
      <c r="V1162" s="278"/>
      <c r="W1162" s="278"/>
    </row>
    <row r="1163" spans="1:23" s="269" customFormat="1" ht="20.25">
      <c r="A1163" s="267"/>
      <c r="B1163" s="275" t="s">
        <v>2437</v>
      </c>
      <c r="C1163" s="275" t="s">
        <v>3831</v>
      </c>
      <c r="D1163" s="168" t="s">
        <v>6562</v>
      </c>
      <c r="E1163" s="168" t="s">
        <v>2294</v>
      </c>
      <c r="F1163" s="168" t="s">
        <v>4623</v>
      </c>
      <c r="G1163" s="168" t="s">
        <v>4623</v>
      </c>
      <c r="H1163" s="292" t="s">
        <v>4623</v>
      </c>
      <c r="I1163" s="293" t="s">
        <v>4623</v>
      </c>
      <c r="J1163" s="293" t="s">
        <v>4623</v>
      </c>
      <c r="K1163" s="290" t="s">
        <v>4623</v>
      </c>
      <c r="L1163" s="290" t="s">
        <v>4623</v>
      </c>
      <c r="M1163" s="290" t="s">
        <v>4623</v>
      </c>
      <c r="N1163" s="290" t="s">
        <v>4623</v>
      </c>
      <c r="O1163" s="290" t="s">
        <v>4623</v>
      </c>
      <c r="P1163" s="290" t="s">
        <v>999</v>
      </c>
      <c r="Q1163" s="291" t="s">
        <v>4623</v>
      </c>
      <c r="R1163" s="276"/>
      <c r="S1163" s="277">
        <f>IF(OR(C1163="",C1163=T$4),NA(),MATCH($B1163&amp;$C1163,'Smelter Reference List'!$J:$J,0))</f>
        <v>442</v>
      </c>
      <c r="T1163" s="278"/>
      <c r="U1163" s="278"/>
      <c r="V1163" s="278"/>
      <c r="W1163" s="278"/>
    </row>
    <row r="1164" spans="1:23" s="269" customFormat="1" ht="20.25">
      <c r="A1164" s="267"/>
      <c r="B1164" s="275" t="s">
        <v>2437</v>
      </c>
      <c r="C1164" s="275" t="s">
        <v>3831</v>
      </c>
      <c r="D1164" s="168" t="s">
        <v>6563</v>
      </c>
      <c r="E1164" s="168" t="s">
        <v>2294</v>
      </c>
      <c r="F1164" s="168" t="s">
        <v>4623</v>
      </c>
      <c r="G1164" s="168" t="s">
        <v>4623</v>
      </c>
      <c r="H1164" s="292" t="s">
        <v>4623</v>
      </c>
      <c r="I1164" s="293" t="s">
        <v>4623</v>
      </c>
      <c r="J1164" s="293" t="s">
        <v>4623</v>
      </c>
      <c r="K1164" s="290" t="s">
        <v>4623</v>
      </c>
      <c r="L1164" s="290" t="s">
        <v>4623</v>
      </c>
      <c r="M1164" s="290" t="s">
        <v>4623</v>
      </c>
      <c r="N1164" s="290" t="s">
        <v>4623</v>
      </c>
      <c r="O1164" s="290" t="s">
        <v>4623</v>
      </c>
      <c r="P1164" s="290" t="s">
        <v>999</v>
      </c>
      <c r="Q1164" s="291" t="s">
        <v>4623</v>
      </c>
      <c r="R1164" s="276"/>
      <c r="S1164" s="277">
        <f>IF(OR(C1164="",C1164=T$4),NA(),MATCH($B1164&amp;$C1164,'Smelter Reference List'!$J:$J,0))</f>
        <v>442</v>
      </c>
      <c r="T1164" s="278"/>
      <c r="U1164" s="278"/>
      <c r="V1164" s="278"/>
      <c r="W1164" s="278"/>
    </row>
    <row r="1165" spans="1:23" s="269" customFormat="1" ht="20.25">
      <c r="A1165" s="267"/>
      <c r="B1165" s="275" t="s">
        <v>2437</v>
      </c>
      <c r="C1165" s="275" t="s">
        <v>3831</v>
      </c>
      <c r="D1165" s="168" t="s">
        <v>6564</v>
      </c>
      <c r="E1165" s="168" t="s">
        <v>2294</v>
      </c>
      <c r="F1165" s="168" t="s">
        <v>4623</v>
      </c>
      <c r="G1165" s="168" t="s">
        <v>4623</v>
      </c>
      <c r="H1165" s="292" t="s">
        <v>4623</v>
      </c>
      <c r="I1165" s="293" t="s">
        <v>4623</v>
      </c>
      <c r="J1165" s="293" t="s">
        <v>4623</v>
      </c>
      <c r="K1165" s="290" t="s">
        <v>4623</v>
      </c>
      <c r="L1165" s="290" t="s">
        <v>4623</v>
      </c>
      <c r="M1165" s="290" t="s">
        <v>4623</v>
      </c>
      <c r="N1165" s="290" t="s">
        <v>4623</v>
      </c>
      <c r="O1165" s="290" t="s">
        <v>4623</v>
      </c>
      <c r="P1165" s="290" t="s">
        <v>999</v>
      </c>
      <c r="Q1165" s="291" t="s">
        <v>4623</v>
      </c>
      <c r="R1165" s="276"/>
      <c r="S1165" s="277">
        <f>IF(OR(C1165="",C1165=T$4),NA(),MATCH($B1165&amp;$C1165,'Smelter Reference List'!$J:$J,0))</f>
        <v>442</v>
      </c>
      <c r="T1165" s="278"/>
      <c r="U1165" s="278"/>
      <c r="V1165" s="278"/>
      <c r="W1165" s="278"/>
    </row>
    <row r="1166" spans="1:23" s="269" customFormat="1" ht="20.25">
      <c r="A1166" s="267"/>
      <c r="B1166" s="275" t="s">
        <v>2437</v>
      </c>
      <c r="C1166" s="275" t="s">
        <v>3831</v>
      </c>
      <c r="D1166" s="168" t="s">
        <v>6565</v>
      </c>
      <c r="E1166" s="168" t="s">
        <v>2294</v>
      </c>
      <c r="F1166" s="168" t="s">
        <v>4623</v>
      </c>
      <c r="G1166" s="168" t="s">
        <v>4623</v>
      </c>
      <c r="H1166" s="292" t="s">
        <v>4623</v>
      </c>
      <c r="I1166" s="293" t="s">
        <v>4623</v>
      </c>
      <c r="J1166" s="293" t="s">
        <v>4623</v>
      </c>
      <c r="K1166" s="290" t="s">
        <v>4623</v>
      </c>
      <c r="L1166" s="290" t="s">
        <v>4623</v>
      </c>
      <c r="M1166" s="290" t="s">
        <v>6377</v>
      </c>
      <c r="N1166" s="290" t="s">
        <v>5000</v>
      </c>
      <c r="O1166" s="290" t="s">
        <v>5000</v>
      </c>
      <c r="P1166" s="290" t="s">
        <v>999</v>
      </c>
      <c r="Q1166" s="291" t="s">
        <v>4623</v>
      </c>
      <c r="R1166" s="276"/>
      <c r="S1166" s="277">
        <f>IF(OR(C1166="",C1166=T$4),NA(),MATCH($B1166&amp;$C1166,'Smelter Reference List'!$J:$J,0))</f>
        <v>442</v>
      </c>
      <c r="T1166" s="278"/>
      <c r="U1166" s="278"/>
      <c r="V1166" s="278"/>
      <c r="W1166" s="278"/>
    </row>
    <row r="1167" spans="1:23" s="269" customFormat="1" ht="20.25">
      <c r="A1167" s="267"/>
      <c r="B1167" s="275" t="s">
        <v>2437</v>
      </c>
      <c r="C1167" s="275" t="s">
        <v>3831</v>
      </c>
      <c r="D1167" s="168" t="s">
        <v>6566</v>
      </c>
      <c r="E1167" s="168" t="s">
        <v>2294</v>
      </c>
      <c r="F1167" s="168" t="s">
        <v>4623</v>
      </c>
      <c r="G1167" s="168" t="s">
        <v>4623</v>
      </c>
      <c r="H1167" s="292" t="s">
        <v>4623</v>
      </c>
      <c r="I1167" s="293" t="s">
        <v>4623</v>
      </c>
      <c r="J1167" s="293" t="s">
        <v>4623</v>
      </c>
      <c r="K1167" s="290" t="s">
        <v>4623</v>
      </c>
      <c r="L1167" s="290" t="s">
        <v>4623</v>
      </c>
      <c r="M1167" s="290" t="s">
        <v>4623</v>
      </c>
      <c r="N1167" s="290" t="s">
        <v>4623</v>
      </c>
      <c r="O1167" s="290" t="s">
        <v>4623</v>
      </c>
      <c r="P1167" s="290" t="s">
        <v>999</v>
      </c>
      <c r="Q1167" s="291" t="s">
        <v>4623</v>
      </c>
      <c r="R1167" s="276"/>
      <c r="S1167" s="277">
        <f>IF(OR(C1167="",C1167=T$4),NA(),MATCH($B1167&amp;$C1167,'Smelter Reference List'!$J:$J,0))</f>
        <v>442</v>
      </c>
      <c r="T1167" s="278"/>
      <c r="U1167" s="278"/>
      <c r="V1167" s="278"/>
      <c r="W1167" s="278"/>
    </row>
    <row r="1168" spans="1:23" s="269" customFormat="1" ht="20.25">
      <c r="A1168" s="267"/>
      <c r="B1168" s="275" t="s">
        <v>2437</v>
      </c>
      <c r="C1168" s="275" t="s">
        <v>3831</v>
      </c>
      <c r="D1168" s="168" t="s">
        <v>6567</v>
      </c>
      <c r="E1168" s="168" t="s">
        <v>2294</v>
      </c>
      <c r="F1168" s="168" t="s">
        <v>4623</v>
      </c>
      <c r="G1168" s="168" t="s">
        <v>4623</v>
      </c>
      <c r="H1168" s="292" t="s">
        <v>4623</v>
      </c>
      <c r="I1168" s="293" t="s">
        <v>4623</v>
      </c>
      <c r="J1168" s="293" t="s">
        <v>4623</v>
      </c>
      <c r="K1168" s="290" t="s">
        <v>4623</v>
      </c>
      <c r="L1168" s="290" t="s">
        <v>4623</v>
      </c>
      <c r="M1168" s="290" t="s">
        <v>6377</v>
      </c>
      <c r="N1168" s="290" t="s">
        <v>5000</v>
      </c>
      <c r="O1168" s="290" t="s">
        <v>5000</v>
      </c>
      <c r="P1168" s="290" t="s">
        <v>999</v>
      </c>
      <c r="Q1168" s="291" t="s">
        <v>4623</v>
      </c>
      <c r="R1168" s="276"/>
      <c r="S1168" s="277">
        <f>IF(OR(C1168="",C1168=T$4),NA(),MATCH($B1168&amp;$C1168,'Smelter Reference List'!$J:$J,0))</f>
        <v>442</v>
      </c>
      <c r="T1168" s="278"/>
      <c r="U1168" s="278"/>
      <c r="V1168" s="278"/>
      <c r="W1168" s="278"/>
    </row>
    <row r="1169" spans="1:23" s="269" customFormat="1" ht="20.25">
      <c r="A1169" s="267"/>
      <c r="B1169" s="275" t="s">
        <v>2437</v>
      </c>
      <c r="C1169" s="275" t="s">
        <v>3831</v>
      </c>
      <c r="D1169" s="168" t="s">
        <v>6568</v>
      </c>
      <c r="E1169" s="168" t="s">
        <v>2294</v>
      </c>
      <c r="F1169" s="168" t="s">
        <v>4623</v>
      </c>
      <c r="G1169" s="168" t="s">
        <v>4623</v>
      </c>
      <c r="H1169" s="292" t="s">
        <v>4623</v>
      </c>
      <c r="I1169" s="293" t="s">
        <v>4623</v>
      </c>
      <c r="J1169" s="293" t="s">
        <v>4623</v>
      </c>
      <c r="K1169" s="290" t="s">
        <v>4623</v>
      </c>
      <c r="L1169" s="290" t="s">
        <v>4623</v>
      </c>
      <c r="M1169" s="290" t="s">
        <v>4623</v>
      </c>
      <c r="N1169" s="290" t="s">
        <v>4623</v>
      </c>
      <c r="O1169" s="290" t="s">
        <v>4623</v>
      </c>
      <c r="P1169" s="290" t="s">
        <v>999</v>
      </c>
      <c r="Q1169" s="291" t="s">
        <v>4623</v>
      </c>
      <c r="R1169" s="276"/>
      <c r="S1169" s="277">
        <f>IF(OR(C1169="",C1169=T$4),NA(),MATCH($B1169&amp;$C1169,'Smelter Reference List'!$J:$J,0))</f>
        <v>442</v>
      </c>
      <c r="T1169" s="278"/>
      <c r="U1169" s="278"/>
      <c r="V1169" s="278"/>
      <c r="W1169" s="278"/>
    </row>
    <row r="1170" spans="1:23" s="269" customFormat="1" ht="20.25">
      <c r="A1170" s="267"/>
      <c r="B1170" s="275" t="s">
        <v>2437</v>
      </c>
      <c r="C1170" s="275" t="s">
        <v>3831</v>
      </c>
      <c r="D1170" s="168" t="s">
        <v>4983</v>
      </c>
      <c r="E1170" s="168" t="s">
        <v>2294</v>
      </c>
      <c r="F1170" s="168" t="s">
        <v>4623</v>
      </c>
      <c r="G1170" s="168" t="s">
        <v>4623</v>
      </c>
      <c r="H1170" s="292" t="s">
        <v>4623</v>
      </c>
      <c r="I1170" s="293" t="s">
        <v>4623</v>
      </c>
      <c r="J1170" s="293" t="s">
        <v>4623</v>
      </c>
      <c r="K1170" s="290" t="s">
        <v>4623</v>
      </c>
      <c r="L1170" s="290" t="s">
        <v>4623</v>
      </c>
      <c r="M1170" s="290" t="s">
        <v>4623</v>
      </c>
      <c r="N1170" s="290" t="s">
        <v>4623</v>
      </c>
      <c r="O1170" s="290" t="s">
        <v>4623</v>
      </c>
      <c r="P1170" s="290" t="s">
        <v>999</v>
      </c>
      <c r="Q1170" s="291" t="s">
        <v>4623</v>
      </c>
      <c r="R1170" s="276"/>
      <c r="S1170" s="277">
        <f>IF(OR(C1170="",C1170=T$4),NA(),MATCH($B1170&amp;$C1170,'Smelter Reference List'!$J:$J,0))</f>
        <v>442</v>
      </c>
      <c r="T1170" s="278"/>
      <c r="U1170" s="278"/>
      <c r="V1170" s="278"/>
      <c r="W1170" s="278"/>
    </row>
    <row r="1171" spans="1:23" s="269" customFormat="1" ht="20.25">
      <c r="A1171" s="267"/>
      <c r="B1171" s="275" t="s">
        <v>2437</v>
      </c>
      <c r="C1171" s="275" t="s">
        <v>3831</v>
      </c>
      <c r="D1171" s="168" t="s">
        <v>6569</v>
      </c>
      <c r="E1171" s="168" t="s">
        <v>2294</v>
      </c>
      <c r="F1171" s="168" t="s">
        <v>4623</v>
      </c>
      <c r="G1171" s="168" t="s">
        <v>4623</v>
      </c>
      <c r="H1171" s="292" t="s">
        <v>4623</v>
      </c>
      <c r="I1171" s="293" t="s">
        <v>4623</v>
      </c>
      <c r="J1171" s="293" t="s">
        <v>4623</v>
      </c>
      <c r="K1171" s="290" t="s">
        <v>4623</v>
      </c>
      <c r="L1171" s="290" t="s">
        <v>4623</v>
      </c>
      <c r="M1171" s="290" t="s">
        <v>4623</v>
      </c>
      <c r="N1171" s="290" t="s">
        <v>4623</v>
      </c>
      <c r="O1171" s="290" t="s">
        <v>4623</v>
      </c>
      <c r="P1171" s="290" t="s">
        <v>999</v>
      </c>
      <c r="Q1171" s="291" t="s">
        <v>4623</v>
      </c>
      <c r="R1171" s="276"/>
      <c r="S1171" s="277">
        <f>IF(OR(C1171="",C1171=T$4),NA(),MATCH($B1171&amp;$C1171,'Smelter Reference List'!$J:$J,0))</f>
        <v>442</v>
      </c>
      <c r="T1171" s="278"/>
      <c r="U1171" s="278"/>
      <c r="V1171" s="278"/>
      <c r="W1171" s="278"/>
    </row>
    <row r="1172" spans="1:23" s="269" customFormat="1" ht="20.25">
      <c r="A1172" s="267"/>
      <c r="B1172" s="275" t="s">
        <v>2437</v>
      </c>
      <c r="C1172" s="275" t="s">
        <v>3831</v>
      </c>
      <c r="D1172" s="168" t="s">
        <v>6570</v>
      </c>
      <c r="E1172" s="168" t="s">
        <v>2294</v>
      </c>
      <c r="F1172" s="168" t="s">
        <v>4623</v>
      </c>
      <c r="G1172" s="168" t="s">
        <v>4623</v>
      </c>
      <c r="H1172" s="292" t="s">
        <v>4623</v>
      </c>
      <c r="I1172" s="293" t="s">
        <v>4623</v>
      </c>
      <c r="J1172" s="293" t="s">
        <v>4623</v>
      </c>
      <c r="K1172" s="290" t="s">
        <v>4623</v>
      </c>
      <c r="L1172" s="290" t="s">
        <v>4623</v>
      </c>
      <c r="M1172" s="290" t="s">
        <v>4623</v>
      </c>
      <c r="N1172" s="290" t="s">
        <v>4623</v>
      </c>
      <c r="O1172" s="290" t="s">
        <v>4623</v>
      </c>
      <c r="P1172" s="290" t="s">
        <v>999</v>
      </c>
      <c r="Q1172" s="291" t="s">
        <v>4623</v>
      </c>
      <c r="R1172" s="276"/>
      <c r="S1172" s="277">
        <f>IF(OR(C1172="",C1172=T$4),NA(),MATCH($B1172&amp;$C1172,'Smelter Reference List'!$J:$J,0))</f>
        <v>442</v>
      </c>
      <c r="T1172" s="278"/>
      <c r="U1172" s="278"/>
      <c r="V1172" s="278"/>
      <c r="W1172" s="278"/>
    </row>
    <row r="1173" spans="1:23" s="269" customFormat="1" ht="20.25">
      <c r="A1173" s="267"/>
      <c r="B1173" s="275" t="s">
        <v>2437</v>
      </c>
      <c r="C1173" s="275" t="s">
        <v>3831</v>
      </c>
      <c r="D1173" s="168" t="s">
        <v>6571</v>
      </c>
      <c r="E1173" s="168" t="s">
        <v>2294</v>
      </c>
      <c r="F1173" s="168" t="s">
        <v>4623</v>
      </c>
      <c r="G1173" s="168" t="s">
        <v>4623</v>
      </c>
      <c r="H1173" s="292" t="s">
        <v>4623</v>
      </c>
      <c r="I1173" s="293" t="s">
        <v>4623</v>
      </c>
      <c r="J1173" s="293" t="s">
        <v>4623</v>
      </c>
      <c r="K1173" s="290" t="s">
        <v>4623</v>
      </c>
      <c r="L1173" s="290" t="s">
        <v>4623</v>
      </c>
      <c r="M1173" s="290" t="s">
        <v>4623</v>
      </c>
      <c r="N1173" s="290" t="s">
        <v>4623</v>
      </c>
      <c r="O1173" s="290" t="s">
        <v>4623</v>
      </c>
      <c r="P1173" s="290" t="s">
        <v>999</v>
      </c>
      <c r="Q1173" s="291" t="s">
        <v>4623</v>
      </c>
      <c r="R1173" s="276"/>
      <c r="S1173" s="277">
        <f>IF(OR(C1173="",C1173=T$4),NA(),MATCH($B1173&amp;$C1173,'Smelter Reference List'!$J:$J,0))</f>
        <v>442</v>
      </c>
      <c r="T1173" s="278"/>
      <c r="U1173" s="278"/>
      <c r="V1173" s="278"/>
      <c r="W1173" s="278"/>
    </row>
    <row r="1174" spans="1:23" s="269" customFormat="1" ht="20.25">
      <c r="A1174" s="267"/>
      <c r="B1174" s="275" t="s">
        <v>2437</v>
      </c>
      <c r="C1174" s="275" t="s">
        <v>3831</v>
      </c>
      <c r="D1174" s="168" t="s">
        <v>6572</v>
      </c>
      <c r="E1174" s="168" t="s">
        <v>2294</v>
      </c>
      <c r="F1174" s="168" t="s">
        <v>4623</v>
      </c>
      <c r="G1174" s="168" t="s">
        <v>4623</v>
      </c>
      <c r="H1174" s="292" t="s">
        <v>4623</v>
      </c>
      <c r="I1174" s="293" t="s">
        <v>4623</v>
      </c>
      <c r="J1174" s="293" t="s">
        <v>4623</v>
      </c>
      <c r="K1174" s="290" t="s">
        <v>4623</v>
      </c>
      <c r="L1174" s="290" t="s">
        <v>4623</v>
      </c>
      <c r="M1174" s="290" t="s">
        <v>4623</v>
      </c>
      <c r="N1174" s="290" t="s">
        <v>4623</v>
      </c>
      <c r="O1174" s="290" t="s">
        <v>4623</v>
      </c>
      <c r="P1174" s="290" t="s">
        <v>999</v>
      </c>
      <c r="Q1174" s="291" t="s">
        <v>4623</v>
      </c>
      <c r="R1174" s="276"/>
      <c r="S1174" s="277">
        <f>IF(OR(C1174="",C1174=T$4),NA(),MATCH($B1174&amp;$C1174,'Smelter Reference List'!$J:$J,0))</f>
        <v>442</v>
      </c>
      <c r="T1174" s="278"/>
      <c r="U1174" s="278"/>
      <c r="V1174" s="278"/>
      <c r="W1174" s="278"/>
    </row>
    <row r="1175" spans="1:23" s="269" customFormat="1" ht="20.25">
      <c r="A1175" s="267"/>
      <c r="B1175" s="275" t="s">
        <v>2437</v>
      </c>
      <c r="C1175" s="275" t="s">
        <v>3831</v>
      </c>
      <c r="D1175" s="168" t="s">
        <v>6573</v>
      </c>
      <c r="E1175" s="168" t="s">
        <v>2294</v>
      </c>
      <c r="F1175" s="168" t="s">
        <v>4623</v>
      </c>
      <c r="G1175" s="168" t="s">
        <v>4623</v>
      </c>
      <c r="H1175" s="292" t="s">
        <v>6574</v>
      </c>
      <c r="I1175" s="293" t="s">
        <v>5254</v>
      </c>
      <c r="J1175" s="293" t="s">
        <v>4969</v>
      </c>
      <c r="K1175" s="290" t="s">
        <v>6575</v>
      </c>
      <c r="L1175" s="290" t="s">
        <v>6576</v>
      </c>
      <c r="M1175" s="290" t="s">
        <v>4623</v>
      </c>
      <c r="N1175" s="290" t="s">
        <v>4623</v>
      </c>
      <c r="O1175" s="290" t="s">
        <v>4623</v>
      </c>
      <c r="P1175" s="290" t="s">
        <v>999</v>
      </c>
      <c r="Q1175" s="291" t="s">
        <v>4623</v>
      </c>
      <c r="R1175" s="276"/>
      <c r="S1175" s="277">
        <f>IF(OR(C1175="",C1175=T$4),NA(),MATCH($B1175&amp;$C1175,'Smelter Reference List'!$J:$J,0))</f>
        <v>442</v>
      </c>
      <c r="T1175" s="278"/>
      <c r="U1175" s="278"/>
      <c r="V1175" s="278"/>
      <c r="W1175" s="278"/>
    </row>
    <row r="1176" spans="1:23" s="269" customFormat="1" ht="20.25">
      <c r="A1176" s="267"/>
      <c r="B1176" s="275" t="s">
        <v>2437</v>
      </c>
      <c r="C1176" s="275" t="s">
        <v>3831</v>
      </c>
      <c r="D1176" s="168" t="s">
        <v>6577</v>
      </c>
      <c r="E1176" s="168" t="s">
        <v>2294</v>
      </c>
      <c r="F1176" s="168" t="s">
        <v>4623</v>
      </c>
      <c r="G1176" s="168" t="s">
        <v>4623</v>
      </c>
      <c r="H1176" s="292" t="s">
        <v>4623</v>
      </c>
      <c r="I1176" s="293" t="s">
        <v>4623</v>
      </c>
      <c r="J1176" s="293" t="s">
        <v>4623</v>
      </c>
      <c r="K1176" s="290" t="s">
        <v>4623</v>
      </c>
      <c r="L1176" s="290" t="s">
        <v>4623</v>
      </c>
      <c r="M1176" s="290" t="s">
        <v>4623</v>
      </c>
      <c r="N1176" s="290" t="s">
        <v>4623</v>
      </c>
      <c r="O1176" s="290" t="s">
        <v>4623</v>
      </c>
      <c r="P1176" s="290" t="s">
        <v>999</v>
      </c>
      <c r="Q1176" s="291" t="s">
        <v>4623</v>
      </c>
      <c r="R1176" s="276"/>
      <c r="S1176" s="277">
        <f>IF(OR(C1176="",C1176=T$4),NA(),MATCH($B1176&amp;$C1176,'Smelter Reference List'!$J:$J,0))</f>
        <v>442</v>
      </c>
      <c r="T1176" s="278"/>
      <c r="U1176" s="278"/>
      <c r="V1176" s="278"/>
      <c r="W1176" s="278"/>
    </row>
    <row r="1177" spans="1:23" s="269" customFormat="1" ht="20.25">
      <c r="A1177" s="267"/>
      <c r="B1177" s="275" t="s">
        <v>2437</v>
      </c>
      <c r="C1177" s="275" t="s">
        <v>3831</v>
      </c>
      <c r="D1177" s="168" t="s">
        <v>6578</v>
      </c>
      <c r="E1177" s="168" t="s">
        <v>2294</v>
      </c>
      <c r="F1177" s="168" t="s">
        <v>4623</v>
      </c>
      <c r="G1177" s="168" t="s">
        <v>4623</v>
      </c>
      <c r="H1177" s="292" t="s">
        <v>4623</v>
      </c>
      <c r="I1177" s="293" t="s">
        <v>4623</v>
      </c>
      <c r="J1177" s="293" t="s">
        <v>4623</v>
      </c>
      <c r="K1177" s="290" t="s">
        <v>4623</v>
      </c>
      <c r="L1177" s="290" t="s">
        <v>4623</v>
      </c>
      <c r="M1177" s="290" t="s">
        <v>6377</v>
      </c>
      <c r="N1177" s="290" t="s">
        <v>5000</v>
      </c>
      <c r="O1177" s="290" t="s">
        <v>5000</v>
      </c>
      <c r="P1177" s="290" t="s">
        <v>999</v>
      </c>
      <c r="Q1177" s="291" t="s">
        <v>4623</v>
      </c>
      <c r="R1177" s="276"/>
      <c r="S1177" s="277">
        <f>IF(OR(C1177="",C1177=T$4),NA(),MATCH($B1177&amp;$C1177,'Smelter Reference List'!$J:$J,0))</f>
        <v>442</v>
      </c>
      <c r="T1177" s="278"/>
      <c r="U1177" s="278"/>
      <c r="V1177" s="278"/>
      <c r="W1177" s="278"/>
    </row>
    <row r="1178" spans="1:23" s="269" customFormat="1" ht="20.25">
      <c r="A1178" s="267"/>
      <c r="B1178" s="275" t="s">
        <v>2437</v>
      </c>
      <c r="C1178" s="275" t="s">
        <v>3831</v>
      </c>
      <c r="D1178" s="168" t="s">
        <v>6579</v>
      </c>
      <c r="E1178" s="168" t="s">
        <v>2294</v>
      </c>
      <c r="F1178" s="168" t="s">
        <v>4623</v>
      </c>
      <c r="G1178" s="168" t="s">
        <v>4623</v>
      </c>
      <c r="H1178" s="292" t="s">
        <v>4623</v>
      </c>
      <c r="I1178" s="293" t="s">
        <v>4623</v>
      </c>
      <c r="J1178" s="293" t="s">
        <v>4623</v>
      </c>
      <c r="K1178" s="290" t="s">
        <v>4623</v>
      </c>
      <c r="L1178" s="290" t="s">
        <v>4623</v>
      </c>
      <c r="M1178" s="290" t="s">
        <v>4623</v>
      </c>
      <c r="N1178" s="290" t="s">
        <v>4623</v>
      </c>
      <c r="O1178" s="290" t="s">
        <v>4623</v>
      </c>
      <c r="P1178" s="290" t="s">
        <v>999</v>
      </c>
      <c r="Q1178" s="291" t="s">
        <v>4623</v>
      </c>
      <c r="R1178" s="276"/>
      <c r="S1178" s="277">
        <f>IF(OR(C1178="",C1178=T$4),NA(),MATCH($B1178&amp;$C1178,'Smelter Reference List'!$J:$J,0))</f>
        <v>442</v>
      </c>
      <c r="T1178" s="278"/>
      <c r="U1178" s="278"/>
      <c r="V1178" s="278"/>
      <c r="W1178" s="278"/>
    </row>
    <row r="1179" spans="1:23" s="269" customFormat="1" ht="20.25">
      <c r="A1179" s="267"/>
      <c r="B1179" s="275" t="s">
        <v>2437</v>
      </c>
      <c r="C1179" s="275" t="s">
        <v>3831</v>
      </c>
      <c r="D1179" s="168" t="s">
        <v>5143</v>
      </c>
      <c r="E1179" s="168" t="s">
        <v>2294</v>
      </c>
      <c r="F1179" s="168" t="s">
        <v>4623</v>
      </c>
      <c r="G1179" s="168" t="s">
        <v>4623</v>
      </c>
      <c r="H1179" s="292" t="s">
        <v>4623</v>
      </c>
      <c r="I1179" s="293" t="s">
        <v>4623</v>
      </c>
      <c r="J1179" s="293" t="s">
        <v>4623</v>
      </c>
      <c r="K1179" s="290" t="s">
        <v>4623</v>
      </c>
      <c r="L1179" s="290" t="s">
        <v>4623</v>
      </c>
      <c r="M1179" s="290" t="s">
        <v>4623</v>
      </c>
      <c r="N1179" s="290" t="s">
        <v>4623</v>
      </c>
      <c r="O1179" s="290" t="s">
        <v>4623</v>
      </c>
      <c r="P1179" s="290" t="s">
        <v>999</v>
      </c>
      <c r="Q1179" s="291" t="s">
        <v>4623</v>
      </c>
      <c r="R1179" s="276"/>
      <c r="S1179" s="277">
        <f>IF(OR(C1179="",C1179=T$4),NA(),MATCH($B1179&amp;$C1179,'Smelter Reference List'!$J:$J,0))</f>
        <v>442</v>
      </c>
      <c r="T1179" s="278"/>
      <c r="U1179" s="278"/>
      <c r="V1179" s="278"/>
      <c r="W1179" s="278"/>
    </row>
    <row r="1180" spans="1:23" s="269" customFormat="1" ht="20.25">
      <c r="A1180" s="267"/>
      <c r="B1180" s="275" t="s">
        <v>2437</v>
      </c>
      <c r="C1180" s="275" t="s">
        <v>3831</v>
      </c>
      <c r="D1180" s="168" t="s">
        <v>6580</v>
      </c>
      <c r="E1180" s="168" t="s">
        <v>2294</v>
      </c>
      <c r="F1180" s="168" t="s">
        <v>4623</v>
      </c>
      <c r="G1180" s="168" t="s">
        <v>4623</v>
      </c>
      <c r="H1180" s="292" t="s">
        <v>4623</v>
      </c>
      <c r="I1180" s="293" t="s">
        <v>4623</v>
      </c>
      <c r="J1180" s="293" t="s">
        <v>4623</v>
      </c>
      <c r="K1180" s="290" t="s">
        <v>4623</v>
      </c>
      <c r="L1180" s="290" t="s">
        <v>4623</v>
      </c>
      <c r="M1180" s="290" t="s">
        <v>4623</v>
      </c>
      <c r="N1180" s="290" t="s">
        <v>4623</v>
      </c>
      <c r="O1180" s="290" t="s">
        <v>4623</v>
      </c>
      <c r="P1180" s="290" t="s">
        <v>999</v>
      </c>
      <c r="Q1180" s="291" t="s">
        <v>4623</v>
      </c>
      <c r="R1180" s="276"/>
      <c r="S1180" s="277">
        <f>IF(OR(C1180="",C1180=T$4),NA(),MATCH($B1180&amp;$C1180,'Smelter Reference List'!$J:$J,0))</f>
        <v>442</v>
      </c>
      <c r="T1180" s="278"/>
      <c r="U1180" s="278"/>
      <c r="V1180" s="278"/>
      <c r="W1180" s="278"/>
    </row>
    <row r="1181" spans="1:23" s="269" customFormat="1" ht="20.25">
      <c r="A1181" s="267"/>
      <c r="B1181" s="275" t="s">
        <v>2437</v>
      </c>
      <c r="C1181" s="275" t="s">
        <v>3831</v>
      </c>
      <c r="D1181" s="168" t="s">
        <v>6581</v>
      </c>
      <c r="E1181" s="168" t="s">
        <v>2294</v>
      </c>
      <c r="F1181" s="168" t="s">
        <v>4623</v>
      </c>
      <c r="G1181" s="168" t="s">
        <v>4623</v>
      </c>
      <c r="H1181" s="292" t="s">
        <v>4623</v>
      </c>
      <c r="I1181" s="293" t="s">
        <v>4623</v>
      </c>
      <c r="J1181" s="293" t="s">
        <v>4623</v>
      </c>
      <c r="K1181" s="290" t="s">
        <v>4623</v>
      </c>
      <c r="L1181" s="290" t="s">
        <v>4623</v>
      </c>
      <c r="M1181" s="290" t="s">
        <v>4623</v>
      </c>
      <c r="N1181" s="290" t="s">
        <v>4623</v>
      </c>
      <c r="O1181" s="290" t="s">
        <v>4623</v>
      </c>
      <c r="P1181" s="290" t="s">
        <v>999</v>
      </c>
      <c r="Q1181" s="291" t="s">
        <v>4623</v>
      </c>
      <c r="R1181" s="276"/>
      <c r="S1181" s="277">
        <f>IF(OR(C1181="",C1181=T$4),NA(),MATCH($B1181&amp;$C1181,'Smelter Reference List'!$J:$J,0))</f>
        <v>442</v>
      </c>
      <c r="T1181" s="278"/>
      <c r="U1181" s="278"/>
      <c r="V1181" s="278"/>
      <c r="W1181" s="278"/>
    </row>
    <row r="1182" spans="1:23" s="269" customFormat="1" ht="20.25">
      <c r="A1182" s="267"/>
      <c r="B1182" s="275" t="s">
        <v>2437</v>
      </c>
      <c r="C1182" s="275" t="s">
        <v>3831</v>
      </c>
      <c r="D1182" s="168" t="s">
        <v>6582</v>
      </c>
      <c r="E1182" s="168" t="s">
        <v>2294</v>
      </c>
      <c r="F1182" s="168" t="s">
        <v>4623</v>
      </c>
      <c r="G1182" s="168" t="s">
        <v>4623</v>
      </c>
      <c r="H1182" s="292" t="s">
        <v>4623</v>
      </c>
      <c r="I1182" s="293" t="s">
        <v>4623</v>
      </c>
      <c r="J1182" s="293" t="s">
        <v>4623</v>
      </c>
      <c r="K1182" s="290" t="s">
        <v>4623</v>
      </c>
      <c r="L1182" s="290" t="s">
        <v>4623</v>
      </c>
      <c r="M1182" s="290" t="s">
        <v>6377</v>
      </c>
      <c r="N1182" s="290" t="s">
        <v>5000</v>
      </c>
      <c r="O1182" s="290" t="s">
        <v>5000</v>
      </c>
      <c r="P1182" s="290" t="s">
        <v>999</v>
      </c>
      <c r="Q1182" s="291" t="s">
        <v>4623</v>
      </c>
      <c r="R1182" s="276"/>
      <c r="S1182" s="277">
        <f>IF(OR(C1182="",C1182=T$4),NA(),MATCH($B1182&amp;$C1182,'Smelter Reference List'!$J:$J,0))</f>
        <v>442</v>
      </c>
      <c r="T1182" s="278"/>
      <c r="U1182" s="278"/>
      <c r="V1182" s="278"/>
      <c r="W1182" s="278"/>
    </row>
    <row r="1183" spans="1:23" s="269" customFormat="1" ht="20.25">
      <c r="A1183" s="267"/>
      <c r="B1183" s="275" t="s">
        <v>2437</v>
      </c>
      <c r="C1183" s="275" t="s">
        <v>3831</v>
      </c>
      <c r="D1183" s="168" t="s">
        <v>6583</v>
      </c>
      <c r="E1183" s="168" t="s">
        <v>2294</v>
      </c>
      <c r="F1183" s="168" t="s">
        <v>4623</v>
      </c>
      <c r="G1183" s="168" t="s">
        <v>4623</v>
      </c>
      <c r="H1183" s="292" t="s">
        <v>4623</v>
      </c>
      <c r="I1183" s="293" t="s">
        <v>4623</v>
      </c>
      <c r="J1183" s="293" t="s">
        <v>4623</v>
      </c>
      <c r="K1183" s="290" t="s">
        <v>4623</v>
      </c>
      <c r="L1183" s="290" t="s">
        <v>4623</v>
      </c>
      <c r="M1183" s="290" t="s">
        <v>4623</v>
      </c>
      <c r="N1183" s="290" t="s">
        <v>4623</v>
      </c>
      <c r="O1183" s="290" t="s">
        <v>4623</v>
      </c>
      <c r="P1183" s="290" t="s">
        <v>999</v>
      </c>
      <c r="Q1183" s="291" t="s">
        <v>4623</v>
      </c>
      <c r="R1183" s="276"/>
      <c r="S1183" s="277">
        <f>IF(OR(C1183="",C1183=T$4),NA(),MATCH($B1183&amp;$C1183,'Smelter Reference List'!$J:$J,0))</f>
        <v>442</v>
      </c>
      <c r="T1183" s="278"/>
      <c r="U1183" s="278"/>
      <c r="V1183" s="278"/>
      <c r="W1183" s="278"/>
    </row>
    <row r="1184" spans="1:23" s="269" customFormat="1" ht="20.25">
      <c r="A1184" s="267"/>
      <c r="B1184" s="275" t="s">
        <v>2437</v>
      </c>
      <c r="C1184" s="275" t="s">
        <v>3831</v>
      </c>
      <c r="D1184" s="168" t="s">
        <v>6584</v>
      </c>
      <c r="E1184" s="168" t="s">
        <v>2294</v>
      </c>
      <c r="F1184" s="168" t="s">
        <v>4623</v>
      </c>
      <c r="G1184" s="168" t="s">
        <v>4623</v>
      </c>
      <c r="H1184" s="292" t="s">
        <v>4623</v>
      </c>
      <c r="I1184" s="293" t="s">
        <v>4623</v>
      </c>
      <c r="J1184" s="293" t="s">
        <v>4623</v>
      </c>
      <c r="K1184" s="290" t="s">
        <v>4623</v>
      </c>
      <c r="L1184" s="290" t="s">
        <v>4623</v>
      </c>
      <c r="M1184" s="290" t="s">
        <v>4623</v>
      </c>
      <c r="N1184" s="290" t="s">
        <v>4623</v>
      </c>
      <c r="O1184" s="290" t="s">
        <v>4623</v>
      </c>
      <c r="P1184" s="290" t="s">
        <v>999</v>
      </c>
      <c r="Q1184" s="291" t="s">
        <v>4623</v>
      </c>
      <c r="R1184" s="276"/>
      <c r="S1184" s="277">
        <f>IF(OR(C1184="",C1184=T$4),NA(),MATCH($B1184&amp;$C1184,'Smelter Reference List'!$J:$J,0))</f>
        <v>442</v>
      </c>
      <c r="T1184" s="278"/>
      <c r="U1184" s="278"/>
      <c r="V1184" s="278"/>
      <c r="W1184" s="278"/>
    </row>
    <row r="1185" spans="1:23" s="269" customFormat="1" ht="20.25">
      <c r="A1185" s="267"/>
      <c r="B1185" s="275" t="s">
        <v>2437</v>
      </c>
      <c r="C1185" s="275" t="s">
        <v>3831</v>
      </c>
      <c r="D1185" s="168" t="s">
        <v>6585</v>
      </c>
      <c r="E1185" s="168" t="s">
        <v>2294</v>
      </c>
      <c r="F1185" s="168" t="s">
        <v>4623</v>
      </c>
      <c r="G1185" s="168" t="s">
        <v>4623</v>
      </c>
      <c r="H1185" s="292" t="s">
        <v>4623</v>
      </c>
      <c r="I1185" s="293" t="s">
        <v>4623</v>
      </c>
      <c r="J1185" s="293" t="s">
        <v>4623</v>
      </c>
      <c r="K1185" s="290" t="s">
        <v>4623</v>
      </c>
      <c r="L1185" s="290" t="s">
        <v>4623</v>
      </c>
      <c r="M1185" s="290" t="s">
        <v>4623</v>
      </c>
      <c r="N1185" s="290" t="s">
        <v>4633</v>
      </c>
      <c r="O1185" s="290" t="s">
        <v>4623</v>
      </c>
      <c r="P1185" s="290" t="s">
        <v>999</v>
      </c>
      <c r="Q1185" s="291" t="s">
        <v>4623</v>
      </c>
      <c r="R1185" s="276"/>
      <c r="S1185" s="277">
        <f>IF(OR(C1185="",C1185=T$4),NA(),MATCH($B1185&amp;$C1185,'Smelter Reference List'!$J:$J,0))</f>
        <v>442</v>
      </c>
      <c r="T1185" s="278"/>
      <c r="U1185" s="278"/>
      <c r="V1185" s="278"/>
      <c r="W1185" s="278"/>
    </row>
    <row r="1186" spans="1:23" s="269" customFormat="1" ht="20.25">
      <c r="A1186" s="267"/>
      <c r="B1186" s="275" t="s">
        <v>2437</v>
      </c>
      <c r="C1186" s="275" t="s">
        <v>3831</v>
      </c>
      <c r="D1186" s="168" t="s">
        <v>6586</v>
      </c>
      <c r="E1186" s="168" t="s">
        <v>2294</v>
      </c>
      <c r="F1186" s="168" t="s">
        <v>4623</v>
      </c>
      <c r="G1186" s="168" t="s">
        <v>4623</v>
      </c>
      <c r="H1186" s="292" t="s">
        <v>6587</v>
      </c>
      <c r="I1186" s="293" t="s">
        <v>3687</v>
      </c>
      <c r="J1186" s="293" t="s">
        <v>3408</v>
      </c>
      <c r="K1186" s="290" t="s">
        <v>6588</v>
      </c>
      <c r="L1186" s="290" t="s">
        <v>6589</v>
      </c>
      <c r="M1186" s="290" t="s">
        <v>4623</v>
      </c>
      <c r="N1186" s="290" t="s">
        <v>4623</v>
      </c>
      <c r="O1186" s="290" t="s">
        <v>4667</v>
      </c>
      <c r="P1186" s="290" t="s">
        <v>999</v>
      </c>
      <c r="Q1186" s="291" t="s">
        <v>4623</v>
      </c>
      <c r="R1186" s="276"/>
      <c r="S1186" s="277">
        <f>IF(OR(C1186="",C1186=T$4),NA(),MATCH($B1186&amp;$C1186,'Smelter Reference List'!$J:$J,0))</f>
        <v>442</v>
      </c>
      <c r="T1186" s="278"/>
      <c r="U1186" s="278"/>
      <c r="V1186" s="278"/>
      <c r="W1186" s="278"/>
    </row>
    <row r="1187" spans="1:23" s="269" customFormat="1" ht="20.25">
      <c r="A1187" s="267"/>
      <c r="B1187" s="275" t="s">
        <v>2437</v>
      </c>
      <c r="C1187" s="275" t="s">
        <v>3831</v>
      </c>
      <c r="D1187" s="168" t="s">
        <v>6590</v>
      </c>
      <c r="E1187" s="168" t="s">
        <v>2294</v>
      </c>
      <c r="F1187" s="168" t="s">
        <v>4623</v>
      </c>
      <c r="G1187" s="168" t="s">
        <v>4623</v>
      </c>
      <c r="H1187" s="292" t="s">
        <v>4623</v>
      </c>
      <c r="I1187" s="293" t="s">
        <v>4623</v>
      </c>
      <c r="J1187" s="293" t="s">
        <v>4623</v>
      </c>
      <c r="K1187" s="290" t="s">
        <v>4623</v>
      </c>
      <c r="L1187" s="290" t="s">
        <v>4623</v>
      </c>
      <c r="M1187" s="290" t="s">
        <v>4623</v>
      </c>
      <c r="N1187" s="290" t="s">
        <v>4623</v>
      </c>
      <c r="O1187" s="290" t="s">
        <v>4623</v>
      </c>
      <c r="P1187" s="290" t="s">
        <v>999</v>
      </c>
      <c r="Q1187" s="291" t="s">
        <v>4623</v>
      </c>
      <c r="R1187" s="276"/>
      <c r="S1187" s="277">
        <f>IF(OR(C1187="",C1187=T$4),NA(),MATCH($B1187&amp;$C1187,'Smelter Reference List'!$J:$J,0))</f>
        <v>442</v>
      </c>
      <c r="T1187" s="278"/>
      <c r="U1187" s="278"/>
      <c r="V1187" s="278"/>
      <c r="W1187" s="278"/>
    </row>
    <row r="1188" spans="1:23" s="269" customFormat="1" ht="20.25">
      <c r="A1188" s="267"/>
      <c r="B1188" s="275" t="s">
        <v>2437</v>
      </c>
      <c r="C1188" s="275" t="s">
        <v>3831</v>
      </c>
      <c r="D1188" s="168" t="s">
        <v>6591</v>
      </c>
      <c r="E1188" s="168" t="s">
        <v>2294</v>
      </c>
      <c r="F1188" s="168" t="s">
        <v>4623</v>
      </c>
      <c r="G1188" s="168" t="s">
        <v>4623</v>
      </c>
      <c r="H1188" s="292" t="s">
        <v>4623</v>
      </c>
      <c r="I1188" s="293" t="s">
        <v>4623</v>
      </c>
      <c r="J1188" s="293" t="s">
        <v>4623</v>
      </c>
      <c r="K1188" s="290" t="s">
        <v>4623</v>
      </c>
      <c r="L1188" s="290" t="s">
        <v>4623</v>
      </c>
      <c r="M1188" s="290" t="s">
        <v>4623</v>
      </c>
      <c r="N1188" s="290" t="s">
        <v>4623</v>
      </c>
      <c r="O1188" s="290" t="s">
        <v>4623</v>
      </c>
      <c r="P1188" s="290" t="s">
        <v>999</v>
      </c>
      <c r="Q1188" s="291" t="s">
        <v>4623</v>
      </c>
      <c r="R1188" s="276"/>
      <c r="S1188" s="277">
        <f>IF(OR(C1188="",C1188=T$4),NA(),MATCH($B1188&amp;$C1188,'Smelter Reference List'!$J:$J,0))</f>
        <v>442</v>
      </c>
      <c r="T1188" s="278"/>
      <c r="U1188" s="278"/>
      <c r="V1188" s="278"/>
      <c r="W1188" s="278"/>
    </row>
    <row r="1189" spans="1:23" s="269" customFormat="1" ht="20.25">
      <c r="A1189" s="267"/>
      <c r="B1189" s="275" t="s">
        <v>2437</v>
      </c>
      <c r="C1189" s="275" t="s">
        <v>3831</v>
      </c>
      <c r="D1189" s="168" t="s">
        <v>6592</v>
      </c>
      <c r="E1189" s="168" t="s">
        <v>2294</v>
      </c>
      <c r="F1189" s="168" t="s">
        <v>4623</v>
      </c>
      <c r="G1189" s="168" t="s">
        <v>4623</v>
      </c>
      <c r="H1189" s="292" t="s">
        <v>4623</v>
      </c>
      <c r="I1189" s="293" t="s">
        <v>4623</v>
      </c>
      <c r="J1189" s="293" t="s">
        <v>4623</v>
      </c>
      <c r="K1189" s="290" t="s">
        <v>4623</v>
      </c>
      <c r="L1189" s="290" t="s">
        <v>4623</v>
      </c>
      <c r="M1189" s="290" t="s">
        <v>6377</v>
      </c>
      <c r="N1189" s="290" t="s">
        <v>5000</v>
      </c>
      <c r="O1189" s="290" t="s">
        <v>5000</v>
      </c>
      <c r="P1189" s="290" t="s">
        <v>999</v>
      </c>
      <c r="Q1189" s="291" t="s">
        <v>4623</v>
      </c>
      <c r="R1189" s="276"/>
      <c r="S1189" s="277">
        <f>IF(OR(C1189="",C1189=T$4),NA(),MATCH($B1189&amp;$C1189,'Smelter Reference List'!$J:$J,0))</f>
        <v>442</v>
      </c>
      <c r="T1189" s="278"/>
      <c r="U1189" s="278"/>
      <c r="V1189" s="278"/>
      <c r="W1189" s="278"/>
    </row>
    <row r="1190" spans="1:23" s="269" customFormat="1" ht="20.25">
      <c r="A1190" s="267"/>
      <c r="B1190" s="275" t="s">
        <v>2437</v>
      </c>
      <c r="C1190" s="275" t="s">
        <v>3831</v>
      </c>
      <c r="D1190" s="168" t="s">
        <v>6593</v>
      </c>
      <c r="E1190" s="168" t="s">
        <v>2294</v>
      </c>
      <c r="F1190" s="168" t="s">
        <v>4623</v>
      </c>
      <c r="G1190" s="168" t="s">
        <v>4623</v>
      </c>
      <c r="H1190" s="292" t="s">
        <v>4623</v>
      </c>
      <c r="I1190" s="293" t="s">
        <v>4623</v>
      </c>
      <c r="J1190" s="293" t="s">
        <v>4623</v>
      </c>
      <c r="K1190" s="290" t="s">
        <v>4623</v>
      </c>
      <c r="L1190" s="290" t="s">
        <v>4623</v>
      </c>
      <c r="M1190" s="290" t="s">
        <v>4623</v>
      </c>
      <c r="N1190" s="290" t="s">
        <v>4623</v>
      </c>
      <c r="O1190" s="290" t="s">
        <v>4623</v>
      </c>
      <c r="P1190" s="290" t="s">
        <v>999</v>
      </c>
      <c r="Q1190" s="291" t="s">
        <v>4623</v>
      </c>
      <c r="R1190" s="276"/>
      <c r="S1190" s="277">
        <f>IF(OR(C1190="",C1190=T$4),NA(),MATCH($B1190&amp;$C1190,'Smelter Reference List'!$J:$J,0))</f>
        <v>442</v>
      </c>
      <c r="T1190" s="278"/>
      <c r="U1190" s="278"/>
      <c r="V1190" s="278"/>
      <c r="W1190" s="278"/>
    </row>
    <row r="1191" spans="1:23" s="269" customFormat="1" ht="20.25">
      <c r="A1191" s="267"/>
      <c r="B1191" s="275" t="s">
        <v>2437</v>
      </c>
      <c r="C1191" s="275" t="s">
        <v>3831</v>
      </c>
      <c r="D1191" s="168" t="s">
        <v>6594</v>
      </c>
      <c r="E1191" s="168" t="s">
        <v>2294</v>
      </c>
      <c r="F1191" s="168" t="s">
        <v>4623</v>
      </c>
      <c r="G1191" s="168" t="s">
        <v>4623</v>
      </c>
      <c r="H1191" s="292" t="s">
        <v>4623</v>
      </c>
      <c r="I1191" s="293" t="s">
        <v>4623</v>
      </c>
      <c r="J1191" s="293" t="s">
        <v>4623</v>
      </c>
      <c r="K1191" s="290" t="s">
        <v>4623</v>
      </c>
      <c r="L1191" s="290" t="s">
        <v>4623</v>
      </c>
      <c r="M1191" s="290" t="s">
        <v>4623</v>
      </c>
      <c r="N1191" s="290" t="s">
        <v>4623</v>
      </c>
      <c r="O1191" s="290" t="s">
        <v>4623</v>
      </c>
      <c r="P1191" s="290" t="s">
        <v>999</v>
      </c>
      <c r="Q1191" s="291" t="s">
        <v>4623</v>
      </c>
      <c r="R1191" s="276"/>
      <c r="S1191" s="277">
        <f>IF(OR(C1191="",C1191=T$4),NA(),MATCH($B1191&amp;$C1191,'Smelter Reference List'!$J:$J,0))</f>
        <v>442</v>
      </c>
      <c r="T1191" s="278"/>
      <c r="U1191" s="278"/>
      <c r="V1191" s="278"/>
      <c r="W1191" s="278"/>
    </row>
    <row r="1192" spans="1:23" s="269" customFormat="1" ht="20.25">
      <c r="A1192" s="267"/>
      <c r="B1192" s="275" t="s">
        <v>2437</v>
      </c>
      <c r="C1192" s="275" t="s">
        <v>3831</v>
      </c>
      <c r="D1192" s="168" t="s">
        <v>5020</v>
      </c>
      <c r="E1192" s="168" t="s">
        <v>2294</v>
      </c>
      <c r="F1192" s="168" t="s">
        <v>4623</v>
      </c>
      <c r="G1192" s="168" t="s">
        <v>4623</v>
      </c>
      <c r="H1192" s="292" t="s">
        <v>4623</v>
      </c>
      <c r="I1192" s="293" t="s">
        <v>3685</v>
      </c>
      <c r="J1192" s="293" t="s">
        <v>3364</v>
      </c>
      <c r="K1192" s="290" t="s">
        <v>6595</v>
      </c>
      <c r="L1192" s="290" t="s">
        <v>5022</v>
      </c>
      <c r="M1192" s="290" t="s">
        <v>4623</v>
      </c>
      <c r="N1192" s="290" t="s">
        <v>4623</v>
      </c>
      <c r="O1192" s="290" t="s">
        <v>4623</v>
      </c>
      <c r="P1192" s="290" t="s">
        <v>999</v>
      </c>
      <c r="Q1192" s="291" t="s">
        <v>4817</v>
      </c>
      <c r="R1192" s="276"/>
      <c r="S1192" s="277">
        <f>IF(OR(C1192="",C1192=T$4),NA(),MATCH($B1192&amp;$C1192,'Smelter Reference List'!$J:$J,0))</f>
        <v>442</v>
      </c>
      <c r="T1192" s="278"/>
      <c r="U1192" s="278"/>
      <c r="V1192" s="278"/>
      <c r="W1192" s="278"/>
    </row>
    <row r="1193" spans="1:23" s="269" customFormat="1" ht="20.25">
      <c r="A1193" s="267"/>
      <c r="B1193" s="275" t="s">
        <v>2437</v>
      </c>
      <c r="C1193" s="275" t="s">
        <v>3831</v>
      </c>
      <c r="D1193" s="168" t="s">
        <v>6596</v>
      </c>
      <c r="E1193" s="168" t="s">
        <v>2294</v>
      </c>
      <c r="F1193" s="168" t="s">
        <v>4623</v>
      </c>
      <c r="G1193" s="168" t="s">
        <v>4623</v>
      </c>
      <c r="H1193" s="292" t="s">
        <v>4623</v>
      </c>
      <c r="I1193" s="293" t="s">
        <v>4623</v>
      </c>
      <c r="J1193" s="293" t="s">
        <v>4623</v>
      </c>
      <c r="K1193" s="290" t="s">
        <v>4623</v>
      </c>
      <c r="L1193" s="290" t="s">
        <v>4623</v>
      </c>
      <c r="M1193" s="290" t="s">
        <v>4623</v>
      </c>
      <c r="N1193" s="290" t="s">
        <v>4623</v>
      </c>
      <c r="O1193" s="290" t="s">
        <v>4623</v>
      </c>
      <c r="P1193" s="290" t="s">
        <v>999</v>
      </c>
      <c r="Q1193" s="291" t="s">
        <v>4623</v>
      </c>
      <c r="R1193" s="276"/>
      <c r="S1193" s="277">
        <f>IF(OR(C1193="",C1193=T$4),NA(),MATCH($B1193&amp;$C1193,'Smelter Reference List'!$J:$J,0))</f>
        <v>442</v>
      </c>
      <c r="T1193" s="278"/>
      <c r="U1193" s="278"/>
      <c r="V1193" s="278"/>
      <c r="W1193" s="278"/>
    </row>
    <row r="1194" spans="1:23" s="269" customFormat="1" ht="20.25">
      <c r="A1194" s="267"/>
      <c r="B1194" s="275" t="s">
        <v>2437</v>
      </c>
      <c r="C1194" s="275" t="s">
        <v>3831</v>
      </c>
      <c r="D1194" s="168" t="s">
        <v>6597</v>
      </c>
      <c r="E1194" s="168" t="s">
        <v>2294</v>
      </c>
      <c r="F1194" s="168" t="s">
        <v>4623</v>
      </c>
      <c r="G1194" s="168" t="s">
        <v>4623</v>
      </c>
      <c r="H1194" s="292" t="s">
        <v>4623</v>
      </c>
      <c r="I1194" s="293" t="s">
        <v>4623</v>
      </c>
      <c r="J1194" s="293" t="s">
        <v>4623</v>
      </c>
      <c r="K1194" s="290" t="s">
        <v>4623</v>
      </c>
      <c r="L1194" s="290" t="s">
        <v>4623</v>
      </c>
      <c r="M1194" s="290" t="s">
        <v>4623</v>
      </c>
      <c r="N1194" s="290" t="s">
        <v>4623</v>
      </c>
      <c r="O1194" s="290" t="s">
        <v>4623</v>
      </c>
      <c r="P1194" s="290" t="s">
        <v>999</v>
      </c>
      <c r="Q1194" s="291" t="s">
        <v>4623</v>
      </c>
      <c r="R1194" s="276"/>
      <c r="S1194" s="277">
        <f>IF(OR(C1194="",C1194=T$4),NA(),MATCH($B1194&amp;$C1194,'Smelter Reference List'!$J:$J,0))</f>
        <v>442</v>
      </c>
      <c r="T1194" s="278"/>
      <c r="U1194" s="278"/>
      <c r="V1194" s="278"/>
      <c r="W1194" s="278"/>
    </row>
    <row r="1195" spans="1:23" s="269" customFormat="1" ht="20.25">
      <c r="A1195" s="267"/>
      <c r="B1195" s="275" t="s">
        <v>2437</v>
      </c>
      <c r="C1195" s="275" t="s">
        <v>3831</v>
      </c>
      <c r="D1195" s="168" t="s">
        <v>6598</v>
      </c>
      <c r="E1195" s="168" t="s">
        <v>2294</v>
      </c>
      <c r="F1195" s="168" t="s">
        <v>4623</v>
      </c>
      <c r="G1195" s="168" t="s">
        <v>4623</v>
      </c>
      <c r="H1195" s="292" t="s">
        <v>6599</v>
      </c>
      <c r="I1195" s="293" t="s">
        <v>3685</v>
      </c>
      <c r="J1195" s="293" t="s">
        <v>3364</v>
      </c>
      <c r="K1195" s="290" t="s">
        <v>6600</v>
      </c>
      <c r="L1195" s="290" t="s">
        <v>6601</v>
      </c>
      <c r="M1195" s="290" t="s">
        <v>4623</v>
      </c>
      <c r="N1195" s="290" t="s">
        <v>4623</v>
      </c>
      <c r="O1195" s="290" t="s">
        <v>4623</v>
      </c>
      <c r="P1195" s="290" t="s">
        <v>999</v>
      </c>
      <c r="Q1195" s="291" t="s">
        <v>4623</v>
      </c>
      <c r="R1195" s="276"/>
      <c r="S1195" s="277">
        <f>IF(OR(C1195="",C1195=T$4),NA(),MATCH($B1195&amp;$C1195,'Smelter Reference List'!$J:$J,0))</f>
        <v>442</v>
      </c>
      <c r="T1195" s="278"/>
      <c r="U1195" s="278"/>
      <c r="V1195" s="278"/>
      <c r="W1195" s="278"/>
    </row>
    <row r="1196" spans="1:23" s="269" customFormat="1" ht="20.25">
      <c r="A1196" s="267"/>
      <c r="B1196" s="275" t="s">
        <v>2437</v>
      </c>
      <c r="C1196" s="275" t="s">
        <v>3831</v>
      </c>
      <c r="D1196" s="168" t="s">
        <v>6602</v>
      </c>
      <c r="E1196" s="168" t="s">
        <v>2294</v>
      </c>
      <c r="F1196" s="168" t="s">
        <v>4623</v>
      </c>
      <c r="G1196" s="168" t="s">
        <v>4623</v>
      </c>
      <c r="H1196" s="292" t="s">
        <v>4623</v>
      </c>
      <c r="I1196" s="293" t="s">
        <v>4623</v>
      </c>
      <c r="J1196" s="293" t="s">
        <v>4623</v>
      </c>
      <c r="K1196" s="290" t="s">
        <v>4623</v>
      </c>
      <c r="L1196" s="290" t="s">
        <v>4623</v>
      </c>
      <c r="M1196" s="290" t="s">
        <v>6603</v>
      </c>
      <c r="N1196" s="290" t="s">
        <v>4623</v>
      </c>
      <c r="O1196" s="290" t="s">
        <v>4623</v>
      </c>
      <c r="P1196" s="290" t="s">
        <v>999</v>
      </c>
      <c r="Q1196" s="291" t="s">
        <v>4623</v>
      </c>
      <c r="R1196" s="276"/>
      <c r="S1196" s="277">
        <f>IF(OR(C1196="",C1196=T$4),NA(),MATCH($B1196&amp;$C1196,'Smelter Reference List'!$J:$J,0))</f>
        <v>442</v>
      </c>
      <c r="T1196" s="278"/>
      <c r="U1196" s="278"/>
      <c r="V1196" s="278"/>
      <c r="W1196" s="278"/>
    </row>
    <row r="1197" spans="1:23" s="269" customFormat="1" ht="20.25">
      <c r="A1197" s="267"/>
      <c r="B1197" s="275" t="s">
        <v>2437</v>
      </c>
      <c r="C1197" s="275" t="s">
        <v>3831</v>
      </c>
      <c r="D1197" s="168" t="s">
        <v>6604</v>
      </c>
      <c r="E1197" s="168" t="s">
        <v>2294</v>
      </c>
      <c r="F1197" s="168" t="s">
        <v>4623</v>
      </c>
      <c r="G1197" s="168" t="s">
        <v>4623</v>
      </c>
      <c r="H1197" s="292" t="s">
        <v>4623</v>
      </c>
      <c r="I1197" s="293" t="s">
        <v>4623</v>
      </c>
      <c r="J1197" s="293" t="s">
        <v>4623</v>
      </c>
      <c r="K1197" s="290" t="s">
        <v>4623</v>
      </c>
      <c r="L1197" s="290" t="s">
        <v>4623</v>
      </c>
      <c r="M1197" s="290" t="s">
        <v>4623</v>
      </c>
      <c r="N1197" s="290" t="s">
        <v>4623</v>
      </c>
      <c r="O1197" s="290" t="s">
        <v>4623</v>
      </c>
      <c r="P1197" s="290" t="s">
        <v>999</v>
      </c>
      <c r="Q1197" s="291" t="s">
        <v>4623</v>
      </c>
      <c r="R1197" s="276"/>
      <c r="S1197" s="277">
        <f>IF(OR(C1197="",C1197=T$4),NA(),MATCH($B1197&amp;$C1197,'Smelter Reference List'!$J:$J,0))</f>
        <v>442</v>
      </c>
      <c r="T1197" s="278"/>
      <c r="U1197" s="278"/>
      <c r="V1197" s="278"/>
      <c r="W1197" s="278"/>
    </row>
    <row r="1198" spans="1:23" s="269" customFormat="1" ht="20.25">
      <c r="A1198" s="267"/>
      <c r="B1198" s="275" t="s">
        <v>2437</v>
      </c>
      <c r="C1198" s="275" t="s">
        <v>3831</v>
      </c>
      <c r="D1198" s="168" t="s">
        <v>6605</v>
      </c>
      <c r="E1198" s="168" t="s">
        <v>2294</v>
      </c>
      <c r="F1198" s="168" t="s">
        <v>4623</v>
      </c>
      <c r="G1198" s="168" t="s">
        <v>4623</v>
      </c>
      <c r="H1198" s="292" t="s">
        <v>4623</v>
      </c>
      <c r="I1198" s="293" t="s">
        <v>4623</v>
      </c>
      <c r="J1198" s="293" t="s">
        <v>4623</v>
      </c>
      <c r="K1198" s="290" t="s">
        <v>4623</v>
      </c>
      <c r="L1198" s="290" t="s">
        <v>4623</v>
      </c>
      <c r="M1198" s="290" t="s">
        <v>4623</v>
      </c>
      <c r="N1198" s="290" t="s">
        <v>4623</v>
      </c>
      <c r="O1198" s="290" t="s">
        <v>4623</v>
      </c>
      <c r="P1198" s="290" t="s">
        <v>999</v>
      </c>
      <c r="Q1198" s="291" t="s">
        <v>4623</v>
      </c>
      <c r="R1198" s="276"/>
      <c r="S1198" s="277">
        <f>IF(OR(C1198="",C1198=T$4),NA(),MATCH($B1198&amp;$C1198,'Smelter Reference List'!$J:$J,0))</f>
        <v>442</v>
      </c>
      <c r="T1198" s="278"/>
      <c r="U1198" s="278"/>
      <c r="V1198" s="278"/>
      <c r="W1198" s="278"/>
    </row>
    <row r="1199" spans="1:23" s="269" customFormat="1" ht="20.25">
      <c r="A1199" s="267"/>
      <c r="B1199" s="275" t="s">
        <v>2437</v>
      </c>
      <c r="C1199" s="275" t="s">
        <v>3831</v>
      </c>
      <c r="D1199" s="168" t="s">
        <v>6606</v>
      </c>
      <c r="E1199" s="168" t="s">
        <v>2294</v>
      </c>
      <c r="F1199" s="168" t="s">
        <v>4623</v>
      </c>
      <c r="G1199" s="168" t="s">
        <v>4623</v>
      </c>
      <c r="H1199" s="292" t="s">
        <v>4623</v>
      </c>
      <c r="I1199" s="293" t="s">
        <v>4623</v>
      </c>
      <c r="J1199" s="293" t="s">
        <v>4623</v>
      </c>
      <c r="K1199" s="290" t="s">
        <v>4623</v>
      </c>
      <c r="L1199" s="290" t="s">
        <v>4623</v>
      </c>
      <c r="M1199" s="290" t="s">
        <v>4623</v>
      </c>
      <c r="N1199" s="290" t="s">
        <v>4623</v>
      </c>
      <c r="O1199" s="290" t="s">
        <v>4623</v>
      </c>
      <c r="P1199" s="290" t="s">
        <v>999</v>
      </c>
      <c r="Q1199" s="291" t="s">
        <v>4623</v>
      </c>
      <c r="R1199" s="276"/>
      <c r="S1199" s="277">
        <f>IF(OR(C1199="",C1199=T$4),NA(),MATCH($B1199&amp;$C1199,'Smelter Reference List'!$J:$J,0))</f>
        <v>442</v>
      </c>
      <c r="T1199" s="278"/>
      <c r="U1199" s="278"/>
      <c r="V1199" s="278"/>
      <c r="W1199" s="278"/>
    </row>
    <row r="1200" spans="1:23" s="269" customFormat="1" ht="20.25">
      <c r="A1200" s="267"/>
      <c r="B1200" s="275" t="s">
        <v>2437</v>
      </c>
      <c r="C1200" s="275" t="s">
        <v>3831</v>
      </c>
      <c r="D1200" s="168" t="s">
        <v>5030</v>
      </c>
      <c r="E1200" s="168" t="s">
        <v>2294</v>
      </c>
      <c r="F1200" s="168" t="s">
        <v>4623</v>
      </c>
      <c r="G1200" s="168" t="s">
        <v>4623</v>
      </c>
      <c r="H1200" s="292" t="s">
        <v>6607</v>
      </c>
      <c r="I1200" s="293" t="s">
        <v>4623</v>
      </c>
      <c r="J1200" s="293" t="s">
        <v>4623</v>
      </c>
      <c r="K1200" s="290" t="s">
        <v>4623</v>
      </c>
      <c r="L1200" s="290" t="s">
        <v>6608</v>
      </c>
      <c r="M1200" s="290" t="s">
        <v>4623</v>
      </c>
      <c r="N1200" s="290" t="s">
        <v>4623</v>
      </c>
      <c r="O1200" s="290" t="s">
        <v>4623</v>
      </c>
      <c r="P1200" s="290" t="s">
        <v>999</v>
      </c>
      <c r="Q1200" s="291" t="s">
        <v>4623</v>
      </c>
      <c r="R1200" s="276"/>
      <c r="S1200" s="277">
        <f>IF(OR(C1200="",C1200=T$4),NA(),MATCH($B1200&amp;$C1200,'Smelter Reference List'!$J:$J,0))</f>
        <v>442</v>
      </c>
      <c r="T1200" s="278"/>
      <c r="U1200" s="278"/>
      <c r="V1200" s="278"/>
      <c r="W1200" s="278"/>
    </row>
    <row r="1201" spans="1:23" s="269" customFormat="1" ht="20.25">
      <c r="A1201" s="267"/>
      <c r="B1201" s="275" t="s">
        <v>2437</v>
      </c>
      <c r="C1201" s="275" t="s">
        <v>3831</v>
      </c>
      <c r="D1201" s="168" t="s">
        <v>5929</v>
      </c>
      <c r="E1201" s="168" t="s">
        <v>2294</v>
      </c>
      <c r="F1201" s="168" t="s">
        <v>4623</v>
      </c>
      <c r="G1201" s="168" t="s">
        <v>4623</v>
      </c>
      <c r="H1201" s="292" t="s">
        <v>4623</v>
      </c>
      <c r="I1201" s="293" t="s">
        <v>4623</v>
      </c>
      <c r="J1201" s="293" t="s">
        <v>4623</v>
      </c>
      <c r="K1201" s="290" t="s">
        <v>4623</v>
      </c>
      <c r="L1201" s="290" t="s">
        <v>4623</v>
      </c>
      <c r="M1201" s="290" t="s">
        <v>4623</v>
      </c>
      <c r="N1201" s="290" t="s">
        <v>4623</v>
      </c>
      <c r="O1201" s="290" t="s">
        <v>4667</v>
      </c>
      <c r="P1201" s="290" t="s">
        <v>999</v>
      </c>
      <c r="Q1201" s="291" t="s">
        <v>4623</v>
      </c>
      <c r="R1201" s="276"/>
      <c r="S1201" s="277">
        <f>IF(OR(C1201="",C1201=T$4),NA(),MATCH($B1201&amp;$C1201,'Smelter Reference List'!$J:$J,0))</f>
        <v>442</v>
      </c>
      <c r="T1201" s="278"/>
      <c r="U1201" s="278"/>
      <c r="V1201" s="278"/>
      <c r="W1201" s="278"/>
    </row>
    <row r="1202" spans="1:23" s="269" customFormat="1" ht="20.25">
      <c r="A1202" s="267"/>
      <c r="B1202" s="275" t="s">
        <v>2437</v>
      </c>
      <c r="C1202" s="275" t="s">
        <v>3831</v>
      </c>
      <c r="D1202" s="168" t="s">
        <v>6609</v>
      </c>
      <c r="E1202" s="168" t="s">
        <v>2294</v>
      </c>
      <c r="F1202" s="168" t="s">
        <v>4623</v>
      </c>
      <c r="G1202" s="168" t="s">
        <v>4623</v>
      </c>
      <c r="H1202" s="292" t="s">
        <v>4623</v>
      </c>
      <c r="I1202" s="293" t="s">
        <v>4623</v>
      </c>
      <c r="J1202" s="293" t="s">
        <v>4623</v>
      </c>
      <c r="K1202" s="290" t="s">
        <v>4623</v>
      </c>
      <c r="L1202" s="290" t="s">
        <v>4623</v>
      </c>
      <c r="M1202" s="290" t="s">
        <v>4623</v>
      </c>
      <c r="N1202" s="290" t="s">
        <v>4623</v>
      </c>
      <c r="O1202" s="290" t="s">
        <v>4623</v>
      </c>
      <c r="P1202" s="290" t="s">
        <v>999</v>
      </c>
      <c r="Q1202" s="291" t="s">
        <v>4623</v>
      </c>
      <c r="R1202" s="276"/>
      <c r="S1202" s="277">
        <f>IF(OR(C1202="",C1202=T$4),NA(),MATCH($B1202&amp;$C1202,'Smelter Reference List'!$J:$J,0))</f>
        <v>442</v>
      </c>
      <c r="T1202" s="278"/>
      <c r="U1202" s="278"/>
      <c r="V1202" s="278"/>
      <c r="W1202" s="278"/>
    </row>
    <row r="1203" spans="1:23" s="269" customFormat="1" ht="20.25">
      <c r="A1203" s="267"/>
      <c r="B1203" s="275" t="s">
        <v>2437</v>
      </c>
      <c r="C1203" s="275" t="s">
        <v>3831</v>
      </c>
      <c r="D1203" s="168" t="s">
        <v>6610</v>
      </c>
      <c r="E1203" s="168" t="s">
        <v>2294</v>
      </c>
      <c r="F1203" s="168" t="s">
        <v>4623</v>
      </c>
      <c r="G1203" s="168" t="s">
        <v>4623</v>
      </c>
      <c r="H1203" s="292" t="s">
        <v>4623</v>
      </c>
      <c r="I1203" s="293" t="s">
        <v>4623</v>
      </c>
      <c r="J1203" s="293" t="s">
        <v>4623</v>
      </c>
      <c r="K1203" s="290" t="s">
        <v>4623</v>
      </c>
      <c r="L1203" s="290" t="s">
        <v>4623</v>
      </c>
      <c r="M1203" s="290" t="s">
        <v>4623</v>
      </c>
      <c r="N1203" s="290" t="s">
        <v>4623</v>
      </c>
      <c r="O1203" s="290" t="s">
        <v>4623</v>
      </c>
      <c r="P1203" s="290" t="s">
        <v>999</v>
      </c>
      <c r="Q1203" s="291" t="s">
        <v>4623</v>
      </c>
      <c r="R1203" s="276"/>
      <c r="S1203" s="277">
        <f>IF(OR(C1203="",C1203=T$4),NA(),MATCH($B1203&amp;$C1203,'Smelter Reference List'!$J:$J,0))</f>
        <v>442</v>
      </c>
      <c r="T1203" s="278"/>
      <c r="U1203" s="278"/>
      <c r="V1203" s="278"/>
      <c r="W1203" s="278"/>
    </row>
    <row r="1204" spans="1:23" s="269" customFormat="1" ht="20.25">
      <c r="A1204" s="267"/>
      <c r="B1204" s="275" t="s">
        <v>2437</v>
      </c>
      <c r="C1204" s="275" t="s">
        <v>3831</v>
      </c>
      <c r="D1204" s="168" t="s">
        <v>5045</v>
      </c>
      <c r="E1204" s="168" t="s">
        <v>2294</v>
      </c>
      <c r="F1204" s="168" t="s">
        <v>4623</v>
      </c>
      <c r="G1204" s="168" t="s">
        <v>4623</v>
      </c>
      <c r="H1204" s="292" t="s">
        <v>4623</v>
      </c>
      <c r="I1204" s="293" t="s">
        <v>4623</v>
      </c>
      <c r="J1204" s="293" t="s">
        <v>4623</v>
      </c>
      <c r="K1204" s="290" t="s">
        <v>4623</v>
      </c>
      <c r="L1204" s="290" t="s">
        <v>4623</v>
      </c>
      <c r="M1204" s="290" t="s">
        <v>6377</v>
      </c>
      <c r="N1204" s="290" t="s">
        <v>5000</v>
      </c>
      <c r="O1204" s="290" t="s">
        <v>5000</v>
      </c>
      <c r="P1204" s="290" t="s">
        <v>999</v>
      </c>
      <c r="Q1204" s="291" t="s">
        <v>4623</v>
      </c>
      <c r="R1204" s="276"/>
      <c r="S1204" s="277">
        <f>IF(OR(C1204="",C1204=T$4),NA(),MATCH($B1204&amp;$C1204,'Smelter Reference List'!$J:$J,0))</f>
        <v>442</v>
      </c>
      <c r="T1204" s="278"/>
      <c r="U1204" s="278"/>
      <c r="V1204" s="278"/>
      <c r="W1204" s="278"/>
    </row>
    <row r="1205" spans="1:23" s="269" customFormat="1" ht="20.25">
      <c r="A1205" s="267"/>
      <c r="B1205" s="275" t="s">
        <v>2437</v>
      </c>
      <c r="C1205" s="275" t="s">
        <v>3831</v>
      </c>
      <c r="D1205" s="168" t="s">
        <v>6611</v>
      </c>
      <c r="E1205" s="168" t="s">
        <v>2294</v>
      </c>
      <c r="F1205" s="168" t="s">
        <v>4623</v>
      </c>
      <c r="G1205" s="168" t="s">
        <v>4623</v>
      </c>
      <c r="H1205" s="292" t="s">
        <v>4623</v>
      </c>
      <c r="I1205" s="293" t="s">
        <v>4623</v>
      </c>
      <c r="J1205" s="293" t="s">
        <v>4623</v>
      </c>
      <c r="K1205" s="290" t="s">
        <v>4623</v>
      </c>
      <c r="L1205" s="290" t="s">
        <v>4623</v>
      </c>
      <c r="M1205" s="290" t="s">
        <v>4623</v>
      </c>
      <c r="N1205" s="290" t="s">
        <v>4623</v>
      </c>
      <c r="O1205" s="290" t="s">
        <v>4623</v>
      </c>
      <c r="P1205" s="290" t="s">
        <v>999</v>
      </c>
      <c r="Q1205" s="291" t="s">
        <v>4623</v>
      </c>
      <c r="R1205" s="276"/>
      <c r="S1205" s="277">
        <f>IF(OR(C1205="",C1205=T$4),NA(),MATCH($B1205&amp;$C1205,'Smelter Reference List'!$J:$J,0))</f>
        <v>442</v>
      </c>
      <c r="T1205" s="278"/>
      <c r="U1205" s="278"/>
      <c r="V1205" s="278"/>
      <c r="W1205" s="278"/>
    </row>
    <row r="1206" spans="1:23" s="269" customFormat="1" ht="20.25">
      <c r="A1206" s="267"/>
      <c r="B1206" s="275" t="s">
        <v>2437</v>
      </c>
      <c r="C1206" s="275" t="s">
        <v>3831</v>
      </c>
      <c r="D1206" s="168" t="s">
        <v>6612</v>
      </c>
      <c r="E1206" s="168" t="s">
        <v>2294</v>
      </c>
      <c r="F1206" s="168" t="s">
        <v>4623</v>
      </c>
      <c r="G1206" s="168" t="s">
        <v>4623</v>
      </c>
      <c r="H1206" s="292" t="s">
        <v>4623</v>
      </c>
      <c r="I1206" s="293" t="s">
        <v>4623</v>
      </c>
      <c r="J1206" s="293" t="s">
        <v>4623</v>
      </c>
      <c r="K1206" s="290" t="s">
        <v>4623</v>
      </c>
      <c r="L1206" s="290" t="s">
        <v>4623</v>
      </c>
      <c r="M1206" s="290" t="s">
        <v>4623</v>
      </c>
      <c r="N1206" s="290" t="s">
        <v>4623</v>
      </c>
      <c r="O1206" s="290" t="s">
        <v>4623</v>
      </c>
      <c r="P1206" s="290" t="s">
        <v>999</v>
      </c>
      <c r="Q1206" s="291" t="s">
        <v>4623</v>
      </c>
      <c r="R1206" s="276"/>
      <c r="S1206" s="277">
        <f>IF(OR(C1206="",C1206=T$4),NA(),MATCH($B1206&amp;$C1206,'Smelter Reference List'!$J:$J,0))</f>
        <v>442</v>
      </c>
      <c r="T1206" s="278"/>
      <c r="U1206" s="278"/>
      <c r="V1206" s="278"/>
      <c r="W1206" s="278"/>
    </row>
    <row r="1207" spans="1:23" s="269" customFormat="1" ht="20.25">
      <c r="A1207" s="267"/>
      <c r="B1207" s="275" t="s">
        <v>2437</v>
      </c>
      <c r="C1207" s="275" t="s">
        <v>3831</v>
      </c>
      <c r="D1207" s="168" t="s">
        <v>6613</v>
      </c>
      <c r="E1207" s="168" t="s">
        <v>2294</v>
      </c>
      <c r="F1207" s="168" t="s">
        <v>4623</v>
      </c>
      <c r="G1207" s="168" t="s">
        <v>4623</v>
      </c>
      <c r="H1207" s="292" t="s">
        <v>4623</v>
      </c>
      <c r="I1207" s="293" t="s">
        <v>4623</v>
      </c>
      <c r="J1207" s="293" t="s">
        <v>4623</v>
      </c>
      <c r="K1207" s="290" t="s">
        <v>4623</v>
      </c>
      <c r="L1207" s="290" t="s">
        <v>4623</v>
      </c>
      <c r="M1207" s="290" t="s">
        <v>4623</v>
      </c>
      <c r="N1207" s="290" t="s">
        <v>4623</v>
      </c>
      <c r="O1207" s="290" t="s">
        <v>4623</v>
      </c>
      <c r="P1207" s="290" t="s">
        <v>999</v>
      </c>
      <c r="Q1207" s="291" t="s">
        <v>4623</v>
      </c>
      <c r="R1207" s="276"/>
      <c r="S1207" s="277">
        <f>IF(OR(C1207="",C1207=T$4),NA(),MATCH($B1207&amp;$C1207,'Smelter Reference List'!$J:$J,0))</f>
        <v>442</v>
      </c>
      <c r="T1207" s="278"/>
      <c r="U1207" s="278"/>
      <c r="V1207" s="278"/>
      <c r="W1207" s="278"/>
    </row>
    <row r="1208" spans="1:23" s="269" customFormat="1" ht="20.25">
      <c r="A1208" s="267"/>
      <c r="B1208" s="275" t="s">
        <v>2437</v>
      </c>
      <c r="C1208" s="275" t="s">
        <v>3831</v>
      </c>
      <c r="D1208" s="168" t="s">
        <v>6614</v>
      </c>
      <c r="E1208" s="168" t="s">
        <v>2294</v>
      </c>
      <c r="F1208" s="168" t="s">
        <v>4623</v>
      </c>
      <c r="G1208" s="168" t="s">
        <v>4623</v>
      </c>
      <c r="H1208" s="292" t="s">
        <v>4623</v>
      </c>
      <c r="I1208" s="293" t="s">
        <v>4623</v>
      </c>
      <c r="J1208" s="293" t="s">
        <v>4623</v>
      </c>
      <c r="K1208" s="290" t="s">
        <v>4623</v>
      </c>
      <c r="L1208" s="290" t="s">
        <v>4623</v>
      </c>
      <c r="M1208" s="290" t="s">
        <v>6377</v>
      </c>
      <c r="N1208" s="290" t="s">
        <v>5000</v>
      </c>
      <c r="O1208" s="290" t="s">
        <v>5000</v>
      </c>
      <c r="P1208" s="290" t="s">
        <v>999</v>
      </c>
      <c r="Q1208" s="291" t="s">
        <v>4623</v>
      </c>
      <c r="R1208" s="276"/>
      <c r="S1208" s="277">
        <f>IF(OR(C1208="",C1208=T$4),NA(),MATCH($B1208&amp;$C1208,'Smelter Reference List'!$J:$J,0))</f>
        <v>442</v>
      </c>
      <c r="T1208" s="278"/>
      <c r="U1208" s="278"/>
      <c r="V1208" s="278"/>
      <c r="W1208" s="278"/>
    </row>
    <row r="1209" spans="1:23" s="269" customFormat="1" ht="20.25">
      <c r="A1209" s="267"/>
      <c r="B1209" s="275" t="s">
        <v>2437</v>
      </c>
      <c r="C1209" s="275" t="s">
        <v>3831</v>
      </c>
      <c r="D1209" s="168" t="s">
        <v>6615</v>
      </c>
      <c r="E1209" s="168" t="s">
        <v>2294</v>
      </c>
      <c r="F1209" s="168" t="s">
        <v>4623</v>
      </c>
      <c r="G1209" s="168" t="s">
        <v>4623</v>
      </c>
      <c r="H1209" s="292" t="s">
        <v>4623</v>
      </c>
      <c r="I1209" s="293" t="s">
        <v>4623</v>
      </c>
      <c r="J1209" s="293" t="s">
        <v>4623</v>
      </c>
      <c r="K1209" s="290" t="s">
        <v>4623</v>
      </c>
      <c r="L1209" s="290" t="s">
        <v>4623</v>
      </c>
      <c r="M1209" s="290" t="s">
        <v>4623</v>
      </c>
      <c r="N1209" s="290" t="s">
        <v>4623</v>
      </c>
      <c r="O1209" s="290" t="s">
        <v>4623</v>
      </c>
      <c r="P1209" s="290" t="s">
        <v>999</v>
      </c>
      <c r="Q1209" s="291" t="s">
        <v>4623</v>
      </c>
      <c r="R1209" s="276"/>
      <c r="S1209" s="277">
        <f>IF(OR(C1209="",C1209=T$4),NA(),MATCH($B1209&amp;$C1209,'Smelter Reference List'!$J:$J,0))</f>
        <v>442</v>
      </c>
      <c r="T1209" s="278"/>
      <c r="U1209" s="278"/>
      <c r="V1209" s="278"/>
      <c r="W1209" s="278"/>
    </row>
    <row r="1210" spans="1:23" s="269" customFormat="1" ht="20.25">
      <c r="A1210" s="267"/>
      <c r="B1210" s="275" t="s">
        <v>2437</v>
      </c>
      <c r="C1210" s="275" t="s">
        <v>3831</v>
      </c>
      <c r="D1210" s="168" t="s">
        <v>6616</v>
      </c>
      <c r="E1210" s="168" t="s">
        <v>2294</v>
      </c>
      <c r="F1210" s="168" t="s">
        <v>4623</v>
      </c>
      <c r="G1210" s="168" t="s">
        <v>4623</v>
      </c>
      <c r="H1210" s="292" t="s">
        <v>4623</v>
      </c>
      <c r="I1210" s="293" t="s">
        <v>4623</v>
      </c>
      <c r="J1210" s="293" t="s">
        <v>4623</v>
      </c>
      <c r="K1210" s="290" t="s">
        <v>4623</v>
      </c>
      <c r="L1210" s="290" t="s">
        <v>4623</v>
      </c>
      <c r="M1210" s="290" t="s">
        <v>4623</v>
      </c>
      <c r="N1210" s="290" t="s">
        <v>4623</v>
      </c>
      <c r="O1210" s="290" t="s">
        <v>4623</v>
      </c>
      <c r="P1210" s="290" t="s">
        <v>999</v>
      </c>
      <c r="Q1210" s="291" t="s">
        <v>4623</v>
      </c>
      <c r="R1210" s="276"/>
      <c r="S1210" s="277">
        <f>IF(OR(C1210="",C1210=T$4),NA(),MATCH($B1210&amp;$C1210,'Smelter Reference List'!$J:$J,0))</f>
        <v>442</v>
      </c>
      <c r="T1210" s="278"/>
      <c r="U1210" s="278"/>
      <c r="V1210" s="278"/>
      <c r="W1210" s="278"/>
    </row>
    <row r="1211" spans="1:23" s="269" customFormat="1" ht="20.25">
      <c r="A1211" s="267"/>
      <c r="B1211" s="275" t="s">
        <v>2437</v>
      </c>
      <c r="C1211" s="275" t="s">
        <v>3831</v>
      </c>
      <c r="D1211" s="168" t="s">
        <v>6617</v>
      </c>
      <c r="E1211" s="168" t="s">
        <v>2294</v>
      </c>
      <c r="F1211" s="168" t="s">
        <v>4623</v>
      </c>
      <c r="G1211" s="168" t="s">
        <v>4623</v>
      </c>
      <c r="H1211" s="292" t="s">
        <v>6618</v>
      </c>
      <c r="I1211" s="293" t="s">
        <v>6266</v>
      </c>
      <c r="J1211" s="293" t="s">
        <v>6619</v>
      </c>
      <c r="K1211" s="290" t="s">
        <v>6620</v>
      </c>
      <c r="L1211" s="290" t="s">
        <v>6621</v>
      </c>
      <c r="M1211" s="290" t="s">
        <v>4623</v>
      </c>
      <c r="N1211" s="290" t="s">
        <v>6622</v>
      </c>
      <c r="O1211" s="290" t="s">
        <v>4623</v>
      </c>
      <c r="P1211" s="290" t="s">
        <v>999</v>
      </c>
      <c r="Q1211" s="291" t="s">
        <v>4623</v>
      </c>
      <c r="R1211" s="276"/>
      <c r="S1211" s="277">
        <f>IF(OR(C1211="",C1211=T$4),NA(),MATCH($B1211&amp;$C1211,'Smelter Reference List'!$J:$J,0))</f>
        <v>442</v>
      </c>
      <c r="T1211" s="278"/>
      <c r="U1211" s="278"/>
      <c r="V1211" s="278"/>
      <c r="W1211" s="278"/>
    </row>
    <row r="1212" spans="1:23" s="269" customFormat="1" ht="20.25">
      <c r="A1212" s="267"/>
      <c r="B1212" s="275" t="s">
        <v>2437</v>
      </c>
      <c r="C1212" s="275" t="s">
        <v>3831</v>
      </c>
      <c r="D1212" s="168" t="s">
        <v>6623</v>
      </c>
      <c r="E1212" s="168" t="s">
        <v>2294</v>
      </c>
      <c r="F1212" s="168" t="s">
        <v>4623</v>
      </c>
      <c r="G1212" s="168" t="s">
        <v>4623</v>
      </c>
      <c r="H1212" s="292" t="s">
        <v>4623</v>
      </c>
      <c r="I1212" s="293" t="s">
        <v>4623</v>
      </c>
      <c r="J1212" s="293" t="s">
        <v>4623</v>
      </c>
      <c r="K1212" s="290" t="s">
        <v>4623</v>
      </c>
      <c r="L1212" s="290" t="s">
        <v>4623</v>
      </c>
      <c r="M1212" s="290" t="s">
        <v>6377</v>
      </c>
      <c r="N1212" s="290" t="s">
        <v>5000</v>
      </c>
      <c r="O1212" s="290" t="s">
        <v>5000</v>
      </c>
      <c r="P1212" s="290" t="s">
        <v>999</v>
      </c>
      <c r="Q1212" s="291" t="s">
        <v>4623</v>
      </c>
      <c r="R1212" s="276"/>
      <c r="S1212" s="277">
        <f>IF(OR(C1212="",C1212=T$4),NA(),MATCH($B1212&amp;$C1212,'Smelter Reference List'!$J:$J,0))</f>
        <v>442</v>
      </c>
      <c r="T1212" s="278"/>
      <c r="U1212" s="278"/>
      <c r="V1212" s="278"/>
      <c r="W1212" s="278"/>
    </row>
    <row r="1213" spans="1:23" s="269" customFormat="1" ht="20.25">
      <c r="A1213" s="267"/>
      <c r="B1213" s="275" t="s">
        <v>2437</v>
      </c>
      <c r="C1213" s="275" t="s">
        <v>3831</v>
      </c>
      <c r="D1213" s="168" t="s">
        <v>6624</v>
      </c>
      <c r="E1213" s="168" t="s">
        <v>2294</v>
      </c>
      <c r="F1213" s="168" t="s">
        <v>4623</v>
      </c>
      <c r="G1213" s="168" t="s">
        <v>4623</v>
      </c>
      <c r="H1213" s="292" t="s">
        <v>4623</v>
      </c>
      <c r="I1213" s="293" t="s">
        <v>4623</v>
      </c>
      <c r="J1213" s="293" t="s">
        <v>4623</v>
      </c>
      <c r="K1213" s="290" t="s">
        <v>6625</v>
      </c>
      <c r="L1213" s="290" t="s">
        <v>6626</v>
      </c>
      <c r="M1213" s="290" t="s">
        <v>4623</v>
      </c>
      <c r="N1213" s="290" t="s">
        <v>4623</v>
      </c>
      <c r="O1213" s="290" t="s">
        <v>4623</v>
      </c>
      <c r="P1213" s="290" t="s">
        <v>999</v>
      </c>
      <c r="Q1213" s="291" t="s">
        <v>4623</v>
      </c>
      <c r="R1213" s="276"/>
      <c r="S1213" s="277">
        <f>IF(OR(C1213="",C1213=T$4),NA(),MATCH($B1213&amp;$C1213,'Smelter Reference List'!$J:$J,0))</f>
        <v>442</v>
      </c>
      <c r="T1213" s="278"/>
      <c r="U1213" s="278"/>
      <c r="V1213" s="278"/>
      <c r="W1213" s="278"/>
    </row>
    <row r="1214" spans="1:23" s="269" customFormat="1" ht="20.25">
      <c r="A1214" s="267"/>
      <c r="B1214" s="275" t="s">
        <v>2437</v>
      </c>
      <c r="C1214" s="275" t="s">
        <v>3831</v>
      </c>
      <c r="D1214" s="168" t="s">
        <v>6627</v>
      </c>
      <c r="E1214" s="168" t="s">
        <v>2294</v>
      </c>
      <c r="F1214" s="168" t="s">
        <v>4623</v>
      </c>
      <c r="G1214" s="168" t="s">
        <v>4623</v>
      </c>
      <c r="H1214" s="292" t="s">
        <v>4623</v>
      </c>
      <c r="I1214" s="293" t="s">
        <v>4623</v>
      </c>
      <c r="J1214" s="293" t="s">
        <v>4623</v>
      </c>
      <c r="K1214" s="290" t="s">
        <v>4623</v>
      </c>
      <c r="L1214" s="290" t="s">
        <v>4623</v>
      </c>
      <c r="M1214" s="290" t="s">
        <v>4623</v>
      </c>
      <c r="N1214" s="290" t="s">
        <v>4623</v>
      </c>
      <c r="O1214" s="290" t="s">
        <v>4623</v>
      </c>
      <c r="P1214" s="290" t="s">
        <v>999</v>
      </c>
      <c r="Q1214" s="291" t="s">
        <v>4623</v>
      </c>
      <c r="R1214" s="276"/>
      <c r="S1214" s="277">
        <f>IF(OR(C1214="",C1214=T$4),NA(),MATCH($B1214&amp;$C1214,'Smelter Reference List'!$J:$J,0))</f>
        <v>442</v>
      </c>
      <c r="T1214" s="278"/>
      <c r="U1214" s="278"/>
      <c r="V1214" s="278"/>
      <c r="W1214" s="278"/>
    </row>
    <row r="1215" spans="1:23" s="269" customFormat="1" ht="20.25">
      <c r="A1215" s="267"/>
      <c r="B1215" s="275" t="s">
        <v>2437</v>
      </c>
      <c r="C1215" s="275" t="s">
        <v>3831</v>
      </c>
      <c r="D1215" s="168" t="s">
        <v>6628</v>
      </c>
      <c r="E1215" s="168" t="s">
        <v>2294</v>
      </c>
      <c r="F1215" s="168" t="s">
        <v>4623</v>
      </c>
      <c r="G1215" s="168" t="s">
        <v>4623</v>
      </c>
      <c r="H1215" s="292" t="s">
        <v>4623</v>
      </c>
      <c r="I1215" s="293" t="s">
        <v>4623</v>
      </c>
      <c r="J1215" s="293" t="s">
        <v>4623</v>
      </c>
      <c r="K1215" s="290" t="s">
        <v>4623</v>
      </c>
      <c r="L1215" s="290" t="s">
        <v>4623</v>
      </c>
      <c r="M1215" s="290" t="s">
        <v>4623</v>
      </c>
      <c r="N1215" s="290" t="s">
        <v>4623</v>
      </c>
      <c r="O1215" s="290" t="s">
        <v>4623</v>
      </c>
      <c r="P1215" s="290" t="s">
        <v>999</v>
      </c>
      <c r="Q1215" s="291" t="s">
        <v>4623</v>
      </c>
      <c r="R1215" s="276"/>
      <c r="S1215" s="277">
        <f>IF(OR(C1215="",C1215=T$4),NA(),MATCH($B1215&amp;$C1215,'Smelter Reference List'!$J:$J,0))</f>
        <v>442</v>
      </c>
      <c r="T1215" s="278"/>
      <c r="U1215" s="278"/>
      <c r="V1215" s="278"/>
      <c r="W1215" s="278"/>
    </row>
    <row r="1216" spans="1:23" s="269" customFormat="1" ht="20.25">
      <c r="A1216" s="267"/>
      <c r="B1216" s="275" t="s">
        <v>2437</v>
      </c>
      <c r="C1216" s="275" t="s">
        <v>3831</v>
      </c>
      <c r="D1216" s="168" t="s">
        <v>6629</v>
      </c>
      <c r="E1216" s="168" t="s">
        <v>2294</v>
      </c>
      <c r="F1216" s="168" t="s">
        <v>4623</v>
      </c>
      <c r="G1216" s="168" t="s">
        <v>4623</v>
      </c>
      <c r="H1216" s="292" t="s">
        <v>6630</v>
      </c>
      <c r="I1216" s="293" t="s">
        <v>5405</v>
      </c>
      <c r="J1216" s="293" t="s">
        <v>6631</v>
      </c>
      <c r="K1216" s="290" t="s">
        <v>6632</v>
      </c>
      <c r="L1216" s="290" t="s">
        <v>6633</v>
      </c>
      <c r="M1216" s="290" t="s">
        <v>4769</v>
      </c>
      <c r="N1216" s="290" t="s">
        <v>4769</v>
      </c>
      <c r="O1216" s="290" t="s">
        <v>4623</v>
      </c>
      <c r="P1216" s="290" t="s">
        <v>999</v>
      </c>
      <c r="Q1216" s="291" t="s">
        <v>4623</v>
      </c>
      <c r="R1216" s="276"/>
      <c r="S1216" s="277">
        <f>IF(OR(C1216="",C1216=T$4),NA(),MATCH($B1216&amp;$C1216,'Smelter Reference List'!$J:$J,0))</f>
        <v>442</v>
      </c>
      <c r="T1216" s="278"/>
      <c r="U1216" s="278"/>
      <c r="V1216" s="278"/>
      <c r="W1216" s="278"/>
    </row>
    <row r="1217" spans="1:23" s="269" customFormat="1" ht="20.25">
      <c r="A1217" s="267"/>
      <c r="B1217" s="275" t="s">
        <v>2437</v>
      </c>
      <c r="C1217" s="275" t="s">
        <v>3831</v>
      </c>
      <c r="D1217" s="168" t="s">
        <v>6634</v>
      </c>
      <c r="E1217" s="168" t="s">
        <v>2294</v>
      </c>
      <c r="F1217" s="168" t="s">
        <v>4623</v>
      </c>
      <c r="G1217" s="168" t="s">
        <v>4623</v>
      </c>
      <c r="H1217" s="292" t="s">
        <v>4623</v>
      </c>
      <c r="I1217" s="293" t="s">
        <v>4623</v>
      </c>
      <c r="J1217" s="293" t="s">
        <v>4623</v>
      </c>
      <c r="K1217" s="290" t="s">
        <v>4623</v>
      </c>
      <c r="L1217" s="290" t="s">
        <v>4623</v>
      </c>
      <c r="M1217" s="290" t="s">
        <v>6377</v>
      </c>
      <c r="N1217" s="290" t="s">
        <v>5000</v>
      </c>
      <c r="O1217" s="290" t="s">
        <v>5000</v>
      </c>
      <c r="P1217" s="290" t="s">
        <v>999</v>
      </c>
      <c r="Q1217" s="291" t="s">
        <v>4623</v>
      </c>
      <c r="R1217" s="276"/>
      <c r="S1217" s="277">
        <f>IF(OR(C1217="",C1217=T$4),NA(),MATCH($B1217&amp;$C1217,'Smelter Reference List'!$J:$J,0))</f>
        <v>442</v>
      </c>
      <c r="T1217" s="278"/>
      <c r="U1217" s="278"/>
      <c r="V1217" s="278"/>
      <c r="W1217" s="278"/>
    </row>
    <row r="1218" spans="1:23" s="269" customFormat="1" ht="20.25">
      <c r="A1218" s="267"/>
      <c r="B1218" s="275" t="s">
        <v>2437</v>
      </c>
      <c r="C1218" s="275" t="s">
        <v>3831</v>
      </c>
      <c r="D1218" s="168" t="s">
        <v>6635</v>
      </c>
      <c r="E1218" s="168" t="s">
        <v>2294</v>
      </c>
      <c r="F1218" s="168" t="s">
        <v>4623</v>
      </c>
      <c r="G1218" s="168" t="s">
        <v>4623</v>
      </c>
      <c r="H1218" s="292" t="s">
        <v>6636</v>
      </c>
      <c r="I1218" s="293" t="s">
        <v>3544</v>
      </c>
      <c r="J1218" s="293" t="s">
        <v>3544</v>
      </c>
      <c r="K1218" s="290" t="s">
        <v>6637</v>
      </c>
      <c r="L1218" s="290" t="s">
        <v>6638</v>
      </c>
      <c r="M1218" s="290" t="s">
        <v>4623</v>
      </c>
      <c r="N1218" s="290" t="s">
        <v>6639</v>
      </c>
      <c r="O1218" s="290" t="s">
        <v>4667</v>
      </c>
      <c r="P1218" s="290" t="s">
        <v>999</v>
      </c>
      <c r="Q1218" s="291" t="s">
        <v>4623</v>
      </c>
      <c r="R1218" s="276"/>
      <c r="S1218" s="277">
        <f>IF(OR(C1218="",C1218=T$4),NA(),MATCH($B1218&amp;$C1218,'Smelter Reference List'!$J:$J,0))</f>
        <v>442</v>
      </c>
      <c r="T1218" s="278"/>
      <c r="U1218" s="278"/>
      <c r="V1218" s="278"/>
      <c r="W1218" s="278"/>
    </row>
    <row r="1219" spans="1:23" s="269" customFormat="1" ht="20.25">
      <c r="A1219" s="267"/>
      <c r="B1219" s="275" t="s">
        <v>2437</v>
      </c>
      <c r="C1219" s="275" t="s">
        <v>3831</v>
      </c>
      <c r="D1219" s="168" t="s">
        <v>6640</v>
      </c>
      <c r="E1219" s="168" t="s">
        <v>2294</v>
      </c>
      <c r="F1219" s="168" t="s">
        <v>4623</v>
      </c>
      <c r="G1219" s="168" t="s">
        <v>4623</v>
      </c>
      <c r="H1219" s="292" t="s">
        <v>4623</v>
      </c>
      <c r="I1219" s="293" t="s">
        <v>4623</v>
      </c>
      <c r="J1219" s="293" t="s">
        <v>4623</v>
      </c>
      <c r="K1219" s="290" t="s">
        <v>4623</v>
      </c>
      <c r="L1219" s="290" t="s">
        <v>4623</v>
      </c>
      <c r="M1219" s="290" t="s">
        <v>4623</v>
      </c>
      <c r="N1219" s="290" t="s">
        <v>4623</v>
      </c>
      <c r="O1219" s="290" t="s">
        <v>4623</v>
      </c>
      <c r="P1219" s="290" t="s">
        <v>999</v>
      </c>
      <c r="Q1219" s="291" t="s">
        <v>4623</v>
      </c>
      <c r="R1219" s="276"/>
      <c r="S1219" s="277">
        <f>IF(OR(C1219="",C1219=T$4),NA(),MATCH($B1219&amp;$C1219,'Smelter Reference List'!$J:$J,0))</f>
        <v>442</v>
      </c>
      <c r="T1219" s="278"/>
      <c r="U1219" s="278"/>
      <c r="V1219" s="278"/>
      <c r="W1219" s="278"/>
    </row>
    <row r="1220" spans="1:23" s="269" customFormat="1" ht="20.25">
      <c r="A1220" s="267"/>
      <c r="B1220" s="275" t="s">
        <v>2437</v>
      </c>
      <c r="C1220" s="275" t="s">
        <v>3831</v>
      </c>
      <c r="D1220" s="168" t="s">
        <v>6641</v>
      </c>
      <c r="E1220" s="168" t="s">
        <v>2294</v>
      </c>
      <c r="F1220" s="168" t="s">
        <v>4623</v>
      </c>
      <c r="G1220" s="168" t="s">
        <v>4623</v>
      </c>
      <c r="H1220" s="292" t="s">
        <v>6266</v>
      </c>
      <c r="I1220" s="293" t="s">
        <v>3656</v>
      </c>
      <c r="J1220" s="293" t="s">
        <v>4623</v>
      </c>
      <c r="K1220" s="290" t="s">
        <v>6642</v>
      </c>
      <c r="L1220" s="290" t="s">
        <v>4623</v>
      </c>
      <c r="M1220" s="290" t="s">
        <v>4623</v>
      </c>
      <c r="N1220" s="290" t="s">
        <v>4623</v>
      </c>
      <c r="O1220" s="290" t="s">
        <v>6643</v>
      </c>
      <c r="P1220" s="290" t="s">
        <v>999</v>
      </c>
      <c r="Q1220" s="291" t="s">
        <v>4623</v>
      </c>
      <c r="R1220" s="276"/>
      <c r="S1220" s="277">
        <f>IF(OR(C1220="",C1220=T$4),NA(),MATCH($B1220&amp;$C1220,'Smelter Reference List'!$J:$J,0))</f>
        <v>442</v>
      </c>
      <c r="T1220" s="278"/>
      <c r="U1220" s="278"/>
      <c r="V1220" s="278"/>
      <c r="W1220" s="278"/>
    </row>
    <row r="1221" spans="1:23" s="269" customFormat="1" ht="20.25">
      <c r="A1221" s="267"/>
      <c r="B1221" s="275" t="s">
        <v>2437</v>
      </c>
      <c r="C1221" s="275" t="s">
        <v>3831</v>
      </c>
      <c r="D1221" s="168" t="s">
        <v>5063</v>
      </c>
      <c r="E1221" s="168" t="s">
        <v>2294</v>
      </c>
      <c r="F1221" s="168" t="s">
        <v>4623</v>
      </c>
      <c r="G1221" s="168" t="s">
        <v>4623</v>
      </c>
      <c r="H1221" s="292" t="s">
        <v>4623</v>
      </c>
      <c r="I1221" s="293" t="s">
        <v>4623</v>
      </c>
      <c r="J1221" s="293" t="s">
        <v>4623</v>
      </c>
      <c r="K1221" s="290" t="s">
        <v>4623</v>
      </c>
      <c r="L1221" s="290" t="s">
        <v>4623</v>
      </c>
      <c r="M1221" s="290" t="s">
        <v>4623</v>
      </c>
      <c r="N1221" s="290" t="s">
        <v>4623</v>
      </c>
      <c r="O1221" s="290" t="s">
        <v>4623</v>
      </c>
      <c r="P1221" s="290" t="s">
        <v>999</v>
      </c>
      <c r="Q1221" s="291" t="s">
        <v>4623</v>
      </c>
      <c r="R1221" s="276"/>
      <c r="S1221" s="277">
        <f>IF(OR(C1221="",C1221=T$4),NA(),MATCH($B1221&amp;$C1221,'Smelter Reference List'!$J:$J,0))</f>
        <v>442</v>
      </c>
      <c r="T1221" s="278"/>
      <c r="U1221" s="278"/>
      <c r="V1221" s="278"/>
      <c r="W1221" s="278"/>
    </row>
    <row r="1222" spans="1:23" s="269" customFormat="1" ht="20.25">
      <c r="A1222" s="267"/>
      <c r="B1222" s="275" t="s">
        <v>2437</v>
      </c>
      <c r="C1222" s="275" t="s">
        <v>3831</v>
      </c>
      <c r="D1222" s="168" t="s">
        <v>6644</v>
      </c>
      <c r="E1222" s="168" t="s">
        <v>2294</v>
      </c>
      <c r="F1222" s="168" t="s">
        <v>4623</v>
      </c>
      <c r="G1222" s="168" t="s">
        <v>4623</v>
      </c>
      <c r="H1222" s="292" t="s">
        <v>4623</v>
      </c>
      <c r="I1222" s="293" t="s">
        <v>4623</v>
      </c>
      <c r="J1222" s="293" t="s">
        <v>4623</v>
      </c>
      <c r="K1222" s="290" t="s">
        <v>4623</v>
      </c>
      <c r="L1222" s="290" t="s">
        <v>4623</v>
      </c>
      <c r="M1222" s="290" t="s">
        <v>4623</v>
      </c>
      <c r="N1222" s="290" t="s">
        <v>4623</v>
      </c>
      <c r="O1222" s="290" t="s">
        <v>4623</v>
      </c>
      <c r="P1222" s="290" t="s">
        <v>999</v>
      </c>
      <c r="Q1222" s="291" t="s">
        <v>4623</v>
      </c>
      <c r="R1222" s="276"/>
      <c r="S1222" s="277">
        <f>IF(OR(C1222="",C1222=T$4),NA(),MATCH($B1222&amp;$C1222,'Smelter Reference List'!$J:$J,0))</f>
        <v>442</v>
      </c>
      <c r="T1222" s="278"/>
      <c r="U1222" s="278"/>
      <c r="V1222" s="278"/>
      <c r="W1222" s="278"/>
    </row>
    <row r="1223" spans="1:23" s="269" customFormat="1" ht="20.25">
      <c r="A1223" s="267"/>
      <c r="B1223" s="275" t="s">
        <v>2437</v>
      </c>
      <c r="C1223" s="275" t="s">
        <v>3831</v>
      </c>
      <c r="D1223" s="168" t="s">
        <v>6645</v>
      </c>
      <c r="E1223" s="168" t="s">
        <v>2294</v>
      </c>
      <c r="F1223" s="168" t="s">
        <v>4623</v>
      </c>
      <c r="G1223" s="168" t="s">
        <v>4623</v>
      </c>
      <c r="H1223" s="292" t="s">
        <v>4623</v>
      </c>
      <c r="I1223" s="293" t="s">
        <v>4623</v>
      </c>
      <c r="J1223" s="293" t="s">
        <v>4623</v>
      </c>
      <c r="K1223" s="290" t="s">
        <v>4623</v>
      </c>
      <c r="L1223" s="290" t="s">
        <v>4623</v>
      </c>
      <c r="M1223" s="290" t="s">
        <v>4623</v>
      </c>
      <c r="N1223" s="290" t="s">
        <v>4623</v>
      </c>
      <c r="O1223" s="290" t="s">
        <v>4623</v>
      </c>
      <c r="P1223" s="290" t="s">
        <v>999</v>
      </c>
      <c r="Q1223" s="291" t="s">
        <v>4623</v>
      </c>
      <c r="R1223" s="276"/>
      <c r="S1223" s="277">
        <f>IF(OR(C1223="",C1223=T$4),NA(),MATCH($B1223&amp;$C1223,'Smelter Reference List'!$J:$J,0))</f>
        <v>442</v>
      </c>
      <c r="T1223" s="278"/>
      <c r="U1223" s="278"/>
      <c r="V1223" s="278"/>
      <c r="W1223" s="278"/>
    </row>
    <row r="1224" spans="1:23" s="269" customFormat="1" ht="20.25">
      <c r="A1224" s="267"/>
      <c r="B1224" s="275" t="s">
        <v>2437</v>
      </c>
      <c r="C1224" s="275" t="s">
        <v>3831</v>
      </c>
      <c r="D1224" s="168" t="s">
        <v>6646</v>
      </c>
      <c r="E1224" s="168" t="s">
        <v>2294</v>
      </c>
      <c r="F1224" s="168" t="s">
        <v>4623</v>
      </c>
      <c r="G1224" s="168" t="s">
        <v>4623</v>
      </c>
      <c r="H1224" s="292" t="s">
        <v>4623</v>
      </c>
      <c r="I1224" s="293" t="s">
        <v>4623</v>
      </c>
      <c r="J1224" s="293" t="s">
        <v>4623</v>
      </c>
      <c r="K1224" s="290" t="s">
        <v>4623</v>
      </c>
      <c r="L1224" s="290" t="s">
        <v>4623</v>
      </c>
      <c r="M1224" s="290" t="s">
        <v>4623</v>
      </c>
      <c r="N1224" s="290" t="s">
        <v>4623</v>
      </c>
      <c r="O1224" s="290" t="s">
        <v>4623</v>
      </c>
      <c r="P1224" s="290" t="s">
        <v>999</v>
      </c>
      <c r="Q1224" s="291" t="s">
        <v>4623</v>
      </c>
      <c r="R1224" s="276"/>
      <c r="S1224" s="277">
        <f>IF(OR(C1224="",C1224=T$4),NA(),MATCH($B1224&amp;$C1224,'Smelter Reference List'!$J:$J,0))</f>
        <v>442</v>
      </c>
      <c r="T1224" s="278"/>
      <c r="U1224" s="278"/>
      <c r="V1224" s="278"/>
      <c r="W1224" s="278"/>
    </row>
    <row r="1225" spans="1:23" s="269" customFormat="1" ht="20.25">
      <c r="A1225" s="267"/>
      <c r="B1225" s="275" t="s">
        <v>2437</v>
      </c>
      <c r="C1225" s="275" t="s">
        <v>3831</v>
      </c>
      <c r="D1225" s="168" t="s">
        <v>6647</v>
      </c>
      <c r="E1225" s="168" t="s">
        <v>2294</v>
      </c>
      <c r="F1225" s="168" t="s">
        <v>4623</v>
      </c>
      <c r="G1225" s="168" t="s">
        <v>4623</v>
      </c>
      <c r="H1225" s="292" t="s">
        <v>4623</v>
      </c>
      <c r="I1225" s="293" t="s">
        <v>4623</v>
      </c>
      <c r="J1225" s="293" t="s">
        <v>4623</v>
      </c>
      <c r="K1225" s="290" t="s">
        <v>4623</v>
      </c>
      <c r="L1225" s="290" t="s">
        <v>4623</v>
      </c>
      <c r="M1225" s="290" t="s">
        <v>4623</v>
      </c>
      <c r="N1225" s="290" t="s">
        <v>4623</v>
      </c>
      <c r="O1225" s="290" t="s">
        <v>4623</v>
      </c>
      <c r="P1225" s="290" t="s">
        <v>999</v>
      </c>
      <c r="Q1225" s="291" t="s">
        <v>4623</v>
      </c>
      <c r="R1225" s="276"/>
      <c r="S1225" s="277">
        <f>IF(OR(C1225="",C1225=T$4),NA(),MATCH($B1225&amp;$C1225,'Smelter Reference List'!$J:$J,0))</f>
        <v>442</v>
      </c>
      <c r="T1225" s="278"/>
      <c r="U1225" s="278"/>
      <c r="V1225" s="278"/>
      <c r="W1225" s="278"/>
    </row>
    <row r="1226" spans="1:23" s="269" customFormat="1" ht="20.25">
      <c r="A1226" s="267"/>
      <c r="B1226" s="275" t="s">
        <v>2437</v>
      </c>
      <c r="C1226" s="275" t="s">
        <v>3831</v>
      </c>
      <c r="D1226" s="168" t="s">
        <v>6648</v>
      </c>
      <c r="E1226" s="168" t="s">
        <v>2294</v>
      </c>
      <c r="F1226" s="168" t="s">
        <v>4623</v>
      </c>
      <c r="G1226" s="168" t="s">
        <v>4623</v>
      </c>
      <c r="H1226" s="292" t="s">
        <v>4623</v>
      </c>
      <c r="I1226" s="293" t="s">
        <v>4623</v>
      </c>
      <c r="J1226" s="293" t="s">
        <v>4623</v>
      </c>
      <c r="K1226" s="290" t="s">
        <v>4623</v>
      </c>
      <c r="L1226" s="290" t="s">
        <v>4623</v>
      </c>
      <c r="M1226" s="290" t="s">
        <v>4623</v>
      </c>
      <c r="N1226" s="290" t="s">
        <v>4623</v>
      </c>
      <c r="O1226" s="290" t="s">
        <v>4623</v>
      </c>
      <c r="P1226" s="290" t="s">
        <v>999</v>
      </c>
      <c r="Q1226" s="291" t="s">
        <v>4623</v>
      </c>
      <c r="R1226" s="276"/>
      <c r="S1226" s="277">
        <f>IF(OR(C1226="",C1226=T$4),NA(),MATCH($B1226&amp;$C1226,'Smelter Reference List'!$J:$J,0))</f>
        <v>442</v>
      </c>
      <c r="T1226" s="278"/>
      <c r="U1226" s="278"/>
      <c r="V1226" s="278"/>
      <c r="W1226" s="278"/>
    </row>
    <row r="1227" spans="1:23" s="269" customFormat="1" ht="20.25">
      <c r="A1227" s="267"/>
      <c r="B1227" s="275" t="s">
        <v>2437</v>
      </c>
      <c r="C1227" s="275" t="s">
        <v>3831</v>
      </c>
      <c r="D1227" s="168" t="s">
        <v>5763</v>
      </c>
      <c r="E1227" s="168" t="s">
        <v>2294</v>
      </c>
      <c r="F1227" s="168" t="s">
        <v>4623</v>
      </c>
      <c r="G1227" s="168" t="s">
        <v>4623</v>
      </c>
      <c r="H1227" s="292" t="s">
        <v>4623</v>
      </c>
      <c r="I1227" s="293" t="s">
        <v>4623</v>
      </c>
      <c r="J1227" s="293" t="s">
        <v>4623</v>
      </c>
      <c r="K1227" s="290" t="s">
        <v>4623</v>
      </c>
      <c r="L1227" s="290" t="s">
        <v>4623</v>
      </c>
      <c r="M1227" s="290" t="s">
        <v>4623</v>
      </c>
      <c r="N1227" s="290" t="s">
        <v>4623</v>
      </c>
      <c r="O1227" s="290" t="s">
        <v>4623</v>
      </c>
      <c r="P1227" s="290" t="s">
        <v>999</v>
      </c>
      <c r="Q1227" s="291" t="s">
        <v>4623</v>
      </c>
      <c r="R1227" s="276"/>
      <c r="S1227" s="277">
        <f>IF(OR(C1227="",C1227=T$4),NA(),MATCH($B1227&amp;$C1227,'Smelter Reference List'!$J:$J,0))</f>
        <v>442</v>
      </c>
      <c r="T1227" s="278"/>
      <c r="U1227" s="278"/>
      <c r="V1227" s="278"/>
      <c r="W1227" s="278"/>
    </row>
    <row r="1228" spans="1:23" s="269" customFormat="1" ht="20.25">
      <c r="A1228" s="267"/>
      <c r="B1228" s="275" t="s">
        <v>2437</v>
      </c>
      <c r="C1228" s="275" t="s">
        <v>3831</v>
      </c>
      <c r="D1228" s="168" t="s">
        <v>6649</v>
      </c>
      <c r="E1228" s="168" t="s">
        <v>2294</v>
      </c>
      <c r="F1228" s="168" t="s">
        <v>4623</v>
      </c>
      <c r="G1228" s="168" t="s">
        <v>4623</v>
      </c>
      <c r="H1228" s="292" t="s">
        <v>4623</v>
      </c>
      <c r="I1228" s="293" t="s">
        <v>4623</v>
      </c>
      <c r="J1228" s="293" t="s">
        <v>4623</v>
      </c>
      <c r="K1228" s="290" t="s">
        <v>4623</v>
      </c>
      <c r="L1228" s="290" t="s">
        <v>4623</v>
      </c>
      <c r="M1228" s="290" t="s">
        <v>4623</v>
      </c>
      <c r="N1228" s="290" t="s">
        <v>4623</v>
      </c>
      <c r="O1228" s="290" t="s">
        <v>4623</v>
      </c>
      <c r="P1228" s="290" t="s">
        <v>999</v>
      </c>
      <c r="Q1228" s="291" t="s">
        <v>4623</v>
      </c>
      <c r="R1228" s="276"/>
      <c r="S1228" s="277">
        <f>IF(OR(C1228="",C1228=T$4),NA(),MATCH($B1228&amp;$C1228,'Smelter Reference List'!$J:$J,0))</f>
        <v>442</v>
      </c>
      <c r="T1228" s="278"/>
      <c r="U1228" s="278"/>
      <c r="V1228" s="278"/>
      <c r="W1228" s="278"/>
    </row>
    <row r="1229" spans="1:23" s="269" customFormat="1" ht="20.25">
      <c r="A1229" s="267"/>
      <c r="B1229" s="275" t="s">
        <v>2437</v>
      </c>
      <c r="C1229" s="275" t="s">
        <v>3831</v>
      </c>
      <c r="D1229" s="168" t="s">
        <v>6650</v>
      </c>
      <c r="E1229" s="168" t="s">
        <v>2294</v>
      </c>
      <c r="F1229" s="168" t="s">
        <v>4623</v>
      </c>
      <c r="G1229" s="168" t="s">
        <v>4623</v>
      </c>
      <c r="H1229" s="292" t="s">
        <v>4623</v>
      </c>
      <c r="I1229" s="293" t="s">
        <v>4623</v>
      </c>
      <c r="J1229" s="293" t="s">
        <v>4623</v>
      </c>
      <c r="K1229" s="290" t="s">
        <v>4623</v>
      </c>
      <c r="L1229" s="290" t="s">
        <v>4623</v>
      </c>
      <c r="M1229" s="290" t="s">
        <v>4623</v>
      </c>
      <c r="N1229" s="290" t="s">
        <v>4623</v>
      </c>
      <c r="O1229" s="290" t="s">
        <v>4623</v>
      </c>
      <c r="P1229" s="290" t="s">
        <v>999</v>
      </c>
      <c r="Q1229" s="291" t="s">
        <v>4623</v>
      </c>
      <c r="R1229" s="276"/>
      <c r="S1229" s="277">
        <f>IF(OR(C1229="",C1229=T$4),NA(),MATCH($B1229&amp;$C1229,'Smelter Reference List'!$J:$J,0))</f>
        <v>442</v>
      </c>
      <c r="T1229" s="278"/>
      <c r="U1229" s="278"/>
      <c r="V1229" s="278"/>
      <c r="W1229" s="278"/>
    </row>
    <row r="1230" spans="1:23" s="269" customFormat="1" ht="20.25">
      <c r="A1230" s="267"/>
      <c r="B1230" s="275" t="s">
        <v>2437</v>
      </c>
      <c r="C1230" s="275" t="s">
        <v>3831</v>
      </c>
      <c r="D1230" s="168" t="s">
        <v>6651</v>
      </c>
      <c r="E1230" s="168" t="s">
        <v>2294</v>
      </c>
      <c r="F1230" s="168" t="s">
        <v>4623</v>
      </c>
      <c r="G1230" s="168" t="s">
        <v>4623</v>
      </c>
      <c r="H1230" s="292" t="s">
        <v>4623</v>
      </c>
      <c r="I1230" s="293" t="s">
        <v>4623</v>
      </c>
      <c r="J1230" s="293" t="s">
        <v>4623</v>
      </c>
      <c r="K1230" s="290" t="s">
        <v>4623</v>
      </c>
      <c r="L1230" s="290" t="s">
        <v>4623</v>
      </c>
      <c r="M1230" s="290" t="s">
        <v>6377</v>
      </c>
      <c r="N1230" s="290" t="s">
        <v>5000</v>
      </c>
      <c r="O1230" s="290" t="s">
        <v>5000</v>
      </c>
      <c r="P1230" s="290" t="s">
        <v>999</v>
      </c>
      <c r="Q1230" s="291" t="s">
        <v>4623</v>
      </c>
      <c r="R1230" s="276"/>
      <c r="S1230" s="277">
        <f>IF(OR(C1230="",C1230=T$4),NA(),MATCH($B1230&amp;$C1230,'Smelter Reference List'!$J:$J,0))</f>
        <v>442</v>
      </c>
      <c r="T1230" s="278"/>
      <c r="U1230" s="278"/>
      <c r="V1230" s="278"/>
      <c r="W1230" s="278"/>
    </row>
    <row r="1231" spans="1:23" s="269" customFormat="1" ht="20.25">
      <c r="A1231" s="267"/>
      <c r="B1231" s="275" t="s">
        <v>2437</v>
      </c>
      <c r="C1231" s="275" t="s">
        <v>3831</v>
      </c>
      <c r="D1231" s="168" t="s">
        <v>6652</v>
      </c>
      <c r="E1231" s="168" t="s">
        <v>2294</v>
      </c>
      <c r="F1231" s="168" t="s">
        <v>4623</v>
      </c>
      <c r="G1231" s="168" t="s">
        <v>4623</v>
      </c>
      <c r="H1231" s="292" t="s">
        <v>4623</v>
      </c>
      <c r="I1231" s="293" t="s">
        <v>4623</v>
      </c>
      <c r="J1231" s="293" t="s">
        <v>4623</v>
      </c>
      <c r="K1231" s="290" t="s">
        <v>4623</v>
      </c>
      <c r="L1231" s="290" t="s">
        <v>4623</v>
      </c>
      <c r="M1231" s="290" t="s">
        <v>4623</v>
      </c>
      <c r="N1231" s="290" t="s">
        <v>4623</v>
      </c>
      <c r="O1231" s="290" t="s">
        <v>4623</v>
      </c>
      <c r="P1231" s="290" t="s">
        <v>999</v>
      </c>
      <c r="Q1231" s="291" t="s">
        <v>4623</v>
      </c>
      <c r="R1231" s="276"/>
      <c r="S1231" s="277">
        <f>IF(OR(C1231="",C1231=T$4),NA(),MATCH($B1231&amp;$C1231,'Smelter Reference List'!$J:$J,0))</f>
        <v>442</v>
      </c>
      <c r="T1231" s="278"/>
      <c r="U1231" s="278"/>
      <c r="V1231" s="278"/>
      <c r="W1231" s="278"/>
    </row>
    <row r="1232" spans="1:23" s="269" customFormat="1" ht="20.25">
      <c r="A1232" s="267"/>
      <c r="B1232" s="275" t="s">
        <v>2437</v>
      </c>
      <c r="C1232" s="275" t="s">
        <v>3831</v>
      </c>
      <c r="D1232" s="168" t="s">
        <v>6653</v>
      </c>
      <c r="E1232" s="168" t="s">
        <v>2294</v>
      </c>
      <c r="F1232" s="168" t="s">
        <v>4623</v>
      </c>
      <c r="G1232" s="168" t="s">
        <v>4623</v>
      </c>
      <c r="H1232" s="292" t="s">
        <v>4623</v>
      </c>
      <c r="I1232" s="293" t="s">
        <v>4623</v>
      </c>
      <c r="J1232" s="293" t="s">
        <v>4623</v>
      </c>
      <c r="K1232" s="290" t="s">
        <v>4623</v>
      </c>
      <c r="L1232" s="290" t="s">
        <v>4623</v>
      </c>
      <c r="M1232" s="290" t="s">
        <v>4623</v>
      </c>
      <c r="N1232" s="290" t="s">
        <v>4623</v>
      </c>
      <c r="O1232" s="290" t="s">
        <v>4623</v>
      </c>
      <c r="P1232" s="290" t="s">
        <v>999</v>
      </c>
      <c r="Q1232" s="291" t="s">
        <v>4623</v>
      </c>
      <c r="R1232" s="276"/>
      <c r="S1232" s="277">
        <f>IF(OR(C1232="",C1232=T$4),NA(),MATCH($B1232&amp;$C1232,'Smelter Reference List'!$J:$J,0))</f>
        <v>442</v>
      </c>
      <c r="T1232" s="278"/>
      <c r="U1232" s="278"/>
      <c r="V1232" s="278"/>
      <c r="W1232" s="278"/>
    </row>
    <row r="1233" spans="1:23" s="269" customFormat="1" ht="20.25">
      <c r="A1233" s="267"/>
      <c r="B1233" s="275" t="s">
        <v>2437</v>
      </c>
      <c r="C1233" s="275" t="s">
        <v>3831</v>
      </c>
      <c r="D1233" s="168" t="s">
        <v>6654</v>
      </c>
      <c r="E1233" s="168" t="s">
        <v>2294</v>
      </c>
      <c r="F1233" s="168" t="s">
        <v>4623</v>
      </c>
      <c r="G1233" s="168" t="s">
        <v>4623</v>
      </c>
      <c r="H1233" s="292" t="s">
        <v>4623</v>
      </c>
      <c r="I1233" s="293" t="s">
        <v>4623</v>
      </c>
      <c r="J1233" s="293" t="s">
        <v>4623</v>
      </c>
      <c r="K1233" s="290" t="s">
        <v>4623</v>
      </c>
      <c r="L1233" s="290" t="s">
        <v>4623</v>
      </c>
      <c r="M1233" s="290" t="s">
        <v>4623</v>
      </c>
      <c r="N1233" s="290" t="s">
        <v>4623</v>
      </c>
      <c r="O1233" s="290" t="s">
        <v>4623</v>
      </c>
      <c r="P1233" s="290" t="s">
        <v>999</v>
      </c>
      <c r="Q1233" s="291" t="s">
        <v>4623</v>
      </c>
      <c r="R1233" s="276"/>
      <c r="S1233" s="277">
        <f>IF(OR(C1233="",C1233=T$4),NA(),MATCH($B1233&amp;$C1233,'Smelter Reference List'!$J:$J,0))</f>
        <v>442</v>
      </c>
      <c r="T1233" s="278"/>
      <c r="U1233" s="278"/>
      <c r="V1233" s="278"/>
      <c r="W1233" s="278"/>
    </row>
    <row r="1234" spans="1:23" s="269" customFormat="1" ht="20.25">
      <c r="A1234" s="267"/>
      <c r="B1234" s="275" t="s">
        <v>2437</v>
      </c>
      <c r="C1234" s="275" t="s">
        <v>3831</v>
      </c>
      <c r="D1234" s="168" t="s">
        <v>6655</v>
      </c>
      <c r="E1234" s="168" t="s">
        <v>2294</v>
      </c>
      <c r="F1234" s="168" t="s">
        <v>4623</v>
      </c>
      <c r="G1234" s="168" t="s">
        <v>4623</v>
      </c>
      <c r="H1234" s="292" t="s">
        <v>4623</v>
      </c>
      <c r="I1234" s="293" t="s">
        <v>4623</v>
      </c>
      <c r="J1234" s="293" t="s">
        <v>4623</v>
      </c>
      <c r="K1234" s="290" t="s">
        <v>4623</v>
      </c>
      <c r="L1234" s="290" t="s">
        <v>4623</v>
      </c>
      <c r="M1234" s="290" t="s">
        <v>4623</v>
      </c>
      <c r="N1234" s="290" t="s">
        <v>4623</v>
      </c>
      <c r="O1234" s="290" t="s">
        <v>4623</v>
      </c>
      <c r="P1234" s="290" t="s">
        <v>999</v>
      </c>
      <c r="Q1234" s="291" t="s">
        <v>4623</v>
      </c>
      <c r="R1234" s="276"/>
      <c r="S1234" s="277">
        <f>IF(OR(C1234="",C1234=T$4),NA(),MATCH($B1234&amp;$C1234,'Smelter Reference List'!$J:$J,0))</f>
        <v>442</v>
      </c>
      <c r="T1234" s="278"/>
      <c r="U1234" s="278"/>
      <c r="V1234" s="278"/>
      <c r="W1234" s="278"/>
    </row>
    <row r="1235" spans="1:23" s="269" customFormat="1" ht="20.25">
      <c r="A1235" s="267"/>
      <c r="B1235" s="275" t="s">
        <v>2437</v>
      </c>
      <c r="C1235" s="275" t="s">
        <v>3831</v>
      </c>
      <c r="D1235" s="168" t="s">
        <v>4837</v>
      </c>
      <c r="E1235" s="168" t="s">
        <v>2294</v>
      </c>
      <c r="F1235" s="168" t="s">
        <v>4623</v>
      </c>
      <c r="G1235" s="168" t="s">
        <v>4623</v>
      </c>
      <c r="H1235" s="292" t="s">
        <v>4623</v>
      </c>
      <c r="I1235" s="293" t="s">
        <v>4623</v>
      </c>
      <c r="J1235" s="293" t="s">
        <v>4623</v>
      </c>
      <c r="K1235" s="290" t="s">
        <v>4623</v>
      </c>
      <c r="L1235" s="290" t="s">
        <v>4623</v>
      </c>
      <c r="M1235" s="290" t="s">
        <v>4623</v>
      </c>
      <c r="N1235" s="290" t="s">
        <v>4623</v>
      </c>
      <c r="O1235" s="290" t="s">
        <v>4623</v>
      </c>
      <c r="P1235" s="290" t="s">
        <v>999</v>
      </c>
      <c r="Q1235" s="291" t="s">
        <v>4623</v>
      </c>
      <c r="R1235" s="276"/>
      <c r="S1235" s="277">
        <f>IF(OR(C1235="",C1235=T$4),NA(),MATCH($B1235&amp;$C1235,'Smelter Reference List'!$J:$J,0))</f>
        <v>442</v>
      </c>
      <c r="T1235" s="278"/>
      <c r="U1235" s="278"/>
      <c r="V1235" s="278"/>
      <c r="W1235" s="278"/>
    </row>
    <row r="1236" spans="1:23" s="269" customFormat="1" ht="20.25">
      <c r="A1236" s="267"/>
      <c r="B1236" s="275" t="s">
        <v>2437</v>
      </c>
      <c r="C1236" s="275" t="s">
        <v>3831</v>
      </c>
      <c r="D1236" s="168" t="s">
        <v>6656</v>
      </c>
      <c r="E1236" s="168" t="s">
        <v>2294</v>
      </c>
      <c r="F1236" s="168" t="s">
        <v>4623</v>
      </c>
      <c r="G1236" s="168" t="s">
        <v>4623</v>
      </c>
      <c r="H1236" s="292" t="s">
        <v>4623</v>
      </c>
      <c r="I1236" s="293" t="s">
        <v>4623</v>
      </c>
      <c r="J1236" s="293" t="s">
        <v>4623</v>
      </c>
      <c r="K1236" s="290" t="s">
        <v>4623</v>
      </c>
      <c r="L1236" s="290" t="s">
        <v>4623</v>
      </c>
      <c r="M1236" s="290" t="s">
        <v>4623</v>
      </c>
      <c r="N1236" s="290" t="s">
        <v>4623</v>
      </c>
      <c r="O1236" s="290" t="s">
        <v>4623</v>
      </c>
      <c r="P1236" s="290" t="s">
        <v>999</v>
      </c>
      <c r="Q1236" s="291" t="s">
        <v>4623</v>
      </c>
      <c r="R1236" s="276"/>
      <c r="S1236" s="277">
        <f>IF(OR(C1236="",C1236=T$4),NA(),MATCH($B1236&amp;$C1236,'Smelter Reference List'!$J:$J,0))</f>
        <v>442</v>
      </c>
      <c r="T1236" s="278"/>
      <c r="U1236" s="278"/>
      <c r="V1236" s="278"/>
      <c r="W1236" s="278"/>
    </row>
    <row r="1237" spans="1:23" s="269" customFormat="1" ht="20.25">
      <c r="A1237" s="267"/>
      <c r="B1237" s="275" t="s">
        <v>2437</v>
      </c>
      <c r="C1237" s="275" t="s">
        <v>3831</v>
      </c>
      <c r="D1237" s="168" t="s">
        <v>6657</v>
      </c>
      <c r="E1237" s="168" t="s">
        <v>2294</v>
      </c>
      <c r="F1237" s="168" t="s">
        <v>4623</v>
      </c>
      <c r="G1237" s="168" t="s">
        <v>4623</v>
      </c>
      <c r="H1237" s="292" t="s">
        <v>4623</v>
      </c>
      <c r="I1237" s="293" t="s">
        <v>4623</v>
      </c>
      <c r="J1237" s="293" t="s">
        <v>4623</v>
      </c>
      <c r="K1237" s="290" t="s">
        <v>4623</v>
      </c>
      <c r="L1237" s="290" t="s">
        <v>4623</v>
      </c>
      <c r="M1237" s="290" t="s">
        <v>4623</v>
      </c>
      <c r="N1237" s="290" t="s">
        <v>4623</v>
      </c>
      <c r="O1237" s="290" t="s">
        <v>4623</v>
      </c>
      <c r="P1237" s="290" t="s">
        <v>999</v>
      </c>
      <c r="Q1237" s="291" t="s">
        <v>4623</v>
      </c>
      <c r="R1237" s="276"/>
      <c r="S1237" s="277">
        <f>IF(OR(C1237="",C1237=T$4),NA(),MATCH($B1237&amp;$C1237,'Smelter Reference List'!$J:$J,0))</f>
        <v>442</v>
      </c>
      <c r="T1237" s="278"/>
      <c r="U1237" s="278"/>
      <c r="V1237" s="278"/>
      <c r="W1237" s="278"/>
    </row>
    <row r="1238" spans="1:23" s="269" customFormat="1" ht="20.25">
      <c r="A1238" s="267"/>
      <c r="B1238" s="275" t="s">
        <v>2437</v>
      </c>
      <c r="C1238" s="275" t="s">
        <v>3831</v>
      </c>
      <c r="D1238" s="168" t="s">
        <v>6658</v>
      </c>
      <c r="E1238" s="168" t="s">
        <v>2294</v>
      </c>
      <c r="F1238" s="168" t="s">
        <v>4623</v>
      </c>
      <c r="G1238" s="168" t="s">
        <v>4623</v>
      </c>
      <c r="H1238" s="292" t="s">
        <v>4623</v>
      </c>
      <c r="I1238" s="293" t="s">
        <v>4623</v>
      </c>
      <c r="J1238" s="293" t="s">
        <v>4623</v>
      </c>
      <c r="K1238" s="290" t="s">
        <v>4623</v>
      </c>
      <c r="L1238" s="290" t="s">
        <v>4623</v>
      </c>
      <c r="M1238" s="290" t="s">
        <v>4623</v>
      </c>
      <c r="N1238" s="290" t="s">
        <v>4623</v>
      </c>
      <c r="O1238" s="290" t="s">
        <v>4623</v>
      </c>
      <c r="P1238" s="290" t="s">
        <v>999</v>
      </c>
      <c r="Q1238" s="291" t="s">
        <v>4623</v>
      </c>
      <c r="R1238" s="276"/>
      <c r="S1238" s="277">
        <f>IF(OR(C1238="",C1238=T$4),NA(),MATCH($B1238&amp;$C1238,'Smelter Reference List'!$J:$J,0))</f>
        <v>442</v>
      </c>
      <c r="T1238" s="278"/>
      <c r="U1238" s="278"/>
      <c r="V1238" s="278"/>
      <c r="W1238" s="278"/>
    </row>
    <row r="1239" spans="1:23" s="269" customFormat="1" ht="20.25">
      <c r="A1239" s="267"/>
      <c r="B1239" s="275" t="s">
        <v>2437</v>
      </c>
      <c r="C1239" s="275" t="s">
        <v>3831</v>
      </c>
      <c r="D1239" s="168" t="s">
        <v>5094</v>
      </c>
      <c r="E1239" s="168" t="s">
        <v>2294</v>
      </c>
      <c r="F1239" s="168" t="s">
        <v>4623</v>
      </c>
      <c r="G1239" s="168" t="s">
        <v>4623</v>
      </c>
      <c r="H1239" s="292" t="s">
        <v>4623</v>
      </c>
      <c r="I1239" s="293" t="s">
        <v>4623</v>
      </c>
      <c r="J1239" s="293" t="s">
        <v>4623</v>
      </c>
      <c r="K1239" s="290" t="s">
        <v>4623</v>
      </c>
      <c r="L1239" s="290" t="s">
        <v>4623</v>
      </c>
      <c r="M1239" s="290" t="s">
        <v>4623</v>
      </c>
      <c r="N1239" s="290" t="s">
        <v>4623</v>
      </c>
      <c r="O1239" s="290" t="s">
        <v>4623</v>
      </c>
      <c r="P1239" s="290" t="s">
        <v>999</v>
      </c>
      <c r="Q1239" s="291" t="s">
        <v>4623</v>
      </c>
      <c r="R1239" s="276"/>
      <c r="S1239" s="277">
        <f>IF(OR(C1239="",C1239=T$4),NA(),MATCH($B1239&amp;$C1239,'Smelter Reference List'!$J:$J,0))</f>
        <v>442</v>
      </c>
      <c r="T1239" s="278"/>
      <c r="U1239" s="278"/>
      <c r="V1239" s="278"/>
      <c r="W1239" s="278"/>
    </row>
    <row r="1240" spans="1:23" s="269" customFormat="1" ht="20.25">
      <c r="A1240" s="267"/>
      <c r="B1240" s="275" t="s">
        <v>2437</v>
      </c>
      <c r="C1240" s="275" t="s">
        <v>3831</v>
      </c>
      <c r="D1240" s="168" t="s">
        <v>6659</v>
      </c>
      <c r="E1240" s="168" t="s">
        <v>2294</v>
      </c>
      <c r="F1240" s="168" t="s">
        <v>4623</v>
      </c>
      <c r="G1240" s="168" t="s">
        <v>4623</v>
      </c>
      <c r="H1240" s="292" t="s">
        <v>4623</v>
      </c>
      <c r="I1240" s="293" t="s">
        <v>4623</v>
      </c>
      <c r="J1240" s="293" t="s">
        <v>4623</v>
      </c>
      <c r="K1240" s="290" t="s">
        <v>4623</v>
      </c>
      <c r="L1240" s="290" t="s">
        <v>4623</v>
      </c>
      <c r="M1240" s="290" t="s">
        <v>6377</v>
      </c>
      <c r="N1240" s="290" t="s">
        <v>5000</v>
      </c>
      <c r="O1240" s="290" t="s">
        <v>5000</v>
      </c>
      <c r="P1240" s="290" t="s">
        <v>999</v>
      </c>
      <c r="Q1240" s="291" t="s">
        <v>4623</v>
      </c>
      <c r="R1240" s="276"/>
      <c r="S1240" s="277">
        <f>IF(OR(C1240="",C1240=T$4),NA(),MATCH($B1240&amp;$C1240,'Smelter Reference List'!$J:$J,0))</f>
        <v>442</v>
      </c>
      <c r="T1240" s="278"/>
      <c r="U1240" s="278"/>
      <c r="V1240" s="278"/>
      <c r="W1240" s="278"/>
    </row>
    <row r="1241" spans="1:23" s="269" customFormat="1" ht="20.25">
      <c r="A1241" s="267"/>
      <c r="B1241" s="275" t="s">
        <v>2437</v>
      </c>
      <c r="C1241" s="275" t="s">
        <v>3831</v>
      </c>
      <c r="D1241" s="168" t="s">
        <v>6660</v>
      </c>
      <c r="E1241" s="168" t="s">
        <v>2294</v>
      </c>
      <c r="F1241" s="168" t="s">
        <v>4623</v>
      </c>
      <c r="G1241" s="168" t="s">
        <v>4623</v>
      </c>
      <c r="H1241" s="292" t="s">
        <v>4623</v>
      </c>
      <c r="I1241" s="293" t="s">
        <v>4623</v>
      </c>
      <c r="J1241" s="293" t="s">
        <v>4623</v>
      </c>
      <c r="K1241" s="290" t="s">
        <v>4623</v>
      </c>
      <c r="L1241" s="290" t="s">
        <v>4623</v>
      </c>
      <c r="M1241" s="290" t="s">
        <v>4623</v>
      </c>
      <c r="N1241" s="290" t="s">
        <v>4623</v>
      </c>
      <c r="O1241" s="290" t="s">
        <v>4623</v>
      </c>
      <c r="P1241" s="290" t="s">
        <v>999</v>
      </c>
      <c r="Q1241" s="291" t="s">
        <v>4623</v>
      </c>
      <c r="R1241" s="276"/>
      <c r="S1241" s="277">
        <f>IF(OR(C1241="",C1241=T$4),NA(),MATCH($B1241&amp;$C1241,'Smelter Reference List'!$J:$J,0))</f>
        <v>442</v>
      </c>
      <c r="T1241" s="278"/>
      <c r="U1241" s="278"/>
      <c r="V1241" s="278"/>
      <c r="W1241" s="278"/>
    </row>
    <row r="1242" spans="1:23" s="269" customFormat="1" ht="20.25">
      <c r="A1242" s="267"/>
      <c r="B1242" s="275" t="s">
        <v>2437</v>
      </c>
      <c r="C1242" s="275" t="s">
        <v>3831</v>
      </c>
      <c r="D1242" s="168" t="s">
        <v>6661</v>
      </c>
      <c r="E1242" s="168" t="s">
        <v>2294</v>
      </c>
      <c r="F1242" s="168" t="s">
        <v>4623</v>
      </c>
      <c r="G1242" s="168" t="s">
        <v>4623</v>
      </c>
      <c r="H1242" s="292" t="s">
        <v>4623</v>
      </c>
      <c r="I1242" s="293" t="s">
        <v>4623</v>
      </c>
      <c r="J1242" s="293" t="s">
        <v>4623</v>
      </c>
      <c r="K1242" s="290" t="s">
        <v>4623</v>
      </c>
      <c r="L1242" s="290" t="s">
        <v>4623</v>
      </c>
      <c r="M1242" s="290" t="s">
        <v>4623</v>
      </c>
      <c r="N1242" s="290" t="s">
        <v>4623</v>
      </c>
      <c r="O1242" s="290" t="s">
        <v>4623</v>
      </c>
      <c r="P1242" s="290" t="s">
        <v>999</v>
      </c>
      <c r="Q1242" s="291" t="s">
        <v>4623</v>
      </c>
      <c r="R1242" s="276"/>
      <c r="S1242" s="277">
        <f>IF(OR(C1242="",C1242=T$4),NA(),MATCH($B1242&amp;$C1242,'Smelter Reference List'!$J:$J,0))</f>
        <v>442</v>
      </c>
      <c r="T1242" s="278"/>
      <c r="U1242" s="278"/>
      <c r="V1242" s="278"/>
      <c r="W1242" s="278"/>
    </row>
    <row r="1243" spans="1:23" s="269" customFormat="1" ht="20.25">
      <c r="A1243" s="267"/>
      <c r="B1243" s="275" t="s">
        <v>2437</v>
      </c>
      <c r="C1243" s="275" t="s">
        <v>3831</v>
      </c>
      <c r="D1243" s="168" t="s">
        <v>6662</v>
      </c>
      <c r="E1243" s="168" t="s">
        <v>2294</v>
      </c>
      <c r="F1243" s="168" t="s">
        <v>4623</v>
      </c>
      <c r="G1243" s="168" t="s">
        <v>4623</v>
      </c>
      <c r="H1243" s="292" t="s">
        <v>4623</v>
      </c>
      <c r="I1243" s="293" t="s">
        <v>4623</v>
      </c>
      <c r="J1243" s="293" t="s">
        <v>4623</v>
      </c>
      <c r="K1243" s="290" t="s">
        <v>4623</v>
      </c>
      <c r="L1243" s="290" t="s">
        <v>4623</v>
      </c>
      <c r="M1243" s="290" t="s">
        <v>4623</v>
      </c>
      <c r="N1243" s="290" t="s">
        <v>4623</v>
      </c>
      <c r="O1243" s="290" t="s">
        <v>4623</v>
      </c>
      <c r="P1243" s="290" t="s">
        <v>999</v>
      </c>
      <c r="Q1243" s="291" t="s">
        <v>4623</v>
      </c>
      <c r="R1243" s="276"/>
      <c r="S1243" s="277">
        <f>IF(OR(C1243="",C1243=T$4),NA(),MATCH($B1243&amp;$C1243,'Smelter Reference List'!$J:$J,0))</f>
        <v>442</v>
      </c>
      <c r="T1243" s="278"/>
      <c r="U1243" s="278"/>
      <c r="V1243" s="278"/>
      <c r="W1243" s="278"/>
    </row>
    <row r="1244" spans="1:23" s="269" customFormat="1" ht="20.25">
      <c r="A1244" s="267"/>
      <c r="B1244" s="275" t="s">
        <v>2437</v>
      </c>
      <c r="C1244" s="275" t="s">
        <v>3831</v>
      </c>
      <c r="D1244" s="168" t="s">
        <v>6663</v>
      </c>
      <c r="E1244" s="168" t="s">
        <v>2294</v>
      </c>
      <c r="F1244" s="168" t="s">
        <v>4623</v>
      </c>
      <c r="G1244" s="168" t="s">
        <v>4623</v>
      </c>
      <c r="H1244" s="292" t="s">
        <v>4623</v>
      </c>
      <c r="I1244" s="293" t="s">
        <v>4623</v>
      </c>
      <c r="J1244" s="293" t="s">
        <v>4623</v>
      </c>
      <c r="K1244" s="290" t="s">
        <v>4623</v>
      </c>
      <c r="L1244" s="290" t="s">
        <v>4623</v>
      </c>
      <c r="M1244" s="290" t="s">
        <v>4623</v>
      </c>
      <c r="N1244" s="290" t="s">
        <v>4623</v>
      </c>
      <c r="O1244" s="290" t="s">
        <v>4623</v>
      </c>
      <c r="P1244" s="290" t="s">
        <v>999</v>
      </c>
      <c r="Q1244" s="291" t="s">
        <v>4623</v>
      </c>
      <c r="R1244" s="276"/>
      <c r="S1244" s="277">
        <f>IF(OR(C1244="",C1244=T$4),NA(),MATCH($B1244&amp;$C1244,'Smelter Reference List'!$J:$J,0))</f>
        <v>442</v>
      </c>
      <c r="T1244" s="278"/>
      <c r="U1244" s="278"/>
      <c r="V1244" s="278"/>
      <c r="W1244" s="278"/>
    </row>
    <row r="1245" spans="1:23" s="269" customFormat="1" ht="20.25">
      <c r="A1245" s="267"/>
      <c r="B1245" s="275" t="s">
        <v>2437</v>
      </c>
      <c r="C1245" s="275" t="s">
        <v>3831</v>
      </c>
      <c r="D1245" s="168" t="s">
        <v>6664</v>
      </c>
      <c r="E1245" s="168" t="s">
        <v>2294</v>
      </c>
      <c r="F1245" s="168" t="s">
        <v>4623</v>
      </c>
      <c r="G1245" s="168" t="s">
        <v>4623</v>
      </c>
      <c r="H1245" s="292" t="s">
        <v>4623</v>
      </c>
      <c r="I1245" s="293" t="s">
        <v>4623</v>
      </c>
      <c r="J1245" s="293" t="s">
        <v>4623</v>
      </c>
      <c r="K1245" s="290" t="s">
        <v>4623</v>
      </c>
      <c r="L1245" s="290" t="s">
        <v>4623</v>
      </c>
      <c r="M1245" s="290" t="s">
        <v>4623</v>
      </c>
      <c r="N1245" s="290" t="s">
        <v>4623</v>
      </c>
      <c r="O1245" s="290" t="s">
        <v>4623</v>
      </c>
      <c r="P1245" s="290" t="s">
        <v>999</v>
      </c>
      <c r="Q1245" s="291" t="s">
        <v>4623</v>
      </c>
      <c r="R1245" s="276"/>
      <c r="S1245" s="277">
        <f>IF(OR(C1245="",C1245=T$4),NA(),MATCH($B1245&amp;$C1245,'Smelter Reference List'!$J:$J,0))</f>
        <v>442</v>
      </c>
      <c r="T1245" s="278"/>
      <c r="U1245" s="278"/>
      <c r="V1245" s="278"/>
      <c r="W1245" s="278"/>
    </row>
    <row r="1246" spans="1:23" s="269" customFormat="1" ht="20.25">
      <c r="A1246" s="267"/>
      <c r="B1246" s="275" t="s">
        <v>2437</v>
      </c>
      <c r="C1246" s="275" t="s">
        <v>3831</v>
      </c>
      <c r="D1246" s="168" t="s">
        <v>5100</v>
      </c>
      <c r="E1246" s="168" t="s">
        <v>2294</v>
      </c>
      <c r="F1246" s="168" t="s">
        <v>4623</v>
      </c>
      <c r="G1246" s="168" t="s">
        <v>4623</v>
      </c>
      <c r="H1246" s="292" t="s">
        <v>4623</v>
      </c>
      <c r="I1246" s="293" t="s">
        <v>4623</v>
      </c>
      <c r="J1246" s="293" t="s">
        <v>4623</v>
      </c>
      <c r="K1246" s="290" t="s">
        <v>4623</v>
      </c>
      <c r="L1246" s="290" t="s">
        <v>4623</v>
      </c>
      <c r="M1246" s="290" t="s">
        <v>4623</v>
      </c>
      <c r="N1246" s="290" t="s">
        <v>4623</v>
      </c>
      <c r="O1246" s="290" t="s">
        <v>4623</v>
      </c>
      <c r="P1246" s="290" t="s">
        <v>999</v>
      </c>
      <c r="Q1246" s="291" t="s">
        <v>6665</v>
      </c>
      <c r="R1246" s="276"/>
      <c r="S1246" s="277">
        <f>IF(OR(C1246="",C1246=T$4),NA(),MATCH($B1246&amp;$C1246,'Smelter Reference List'!$J:$J,0))</f>
        <v>442</v>
      </c>
      <c r="T1246" s="278"/>
      <c r="U1246" s="278"/>
      <c r="V1246" s="278"/>
      <c r="W1246" s="278"/>
    </row>
    <row r="1247" spans="1:23" s="269" customFormat="1" ht="20.25">
      <c r="A1247" s="267"/>
      <c r="B1247" s="275" t="s">
        <v>2437</v>
      </c>
      <c r="C1247" s="275" t="s">
        <v>3831</v>
      </c>
      <c r="D1247" s="168" t="s">
        <v>6666</v>
      </c>
      <c r="E1247" s="168" t="s">
        <v>2294</v>
      </c>
      <c r="F1247" s="168" t="s">
        <v>4623</v>
      </c>
      <c r="G1247" s="168" t="s">
        <v>4623</v>
      </c>
      <c r="H1247" s="292" t="s">
        <v>4623</v>
      </c>
      <c r="I1247" s="293" t="s">
        <v>4623</v>
      </c>
      <c r="J1247" s="293" t="s">
        <v>4623</v>
      </c>
      <c r="K1247" s="290" t="s">
        <v>4623</v>
      </c>
      <c r="L1247" s="290" t="s">
        <v>4623</v>
      </c>
      <c r="M1247" s="290" t="s">
        <v>4623</v>
      </c>
      <c r="N1247" s="290" t="s">
        <v>4623</v>
      </c>
      <c r="O1247" s="290" t="s">
        <v>4623</v>
      </c>
      <c r="P1247" s="290" t="s">
        <v>999</v>
      </c>
      <c r="Q1247" s="291" t="s">
        <v>4623</v>
      </c>
      <c r="R1247" s="276"/>
      <c r="S1247" s="277">
        <f>IF(OR(C1247="",C1247=T$4),NA(),MATCH($B1247&amp;$C1247,'Smelter Reference List'!$J:$J,0))</f>
        <v>442</v>
      </c>
      <c r="T1247" s="278"/>
      <c r="U1247" s="278"/>
      <c r="V1247" s="278"/>
      <c r="W1247" s="278"/>
    </row>
    <row r="1248" spans="1:23" s="269" customFormat="1" ht="20.25">
      <c r="A1248" s="267"/>
      <c r="B1248" s="275" t="s">
        <v>2437</v>
      </c>
      <c r="C1248" s="275" t="s">
        <v>3831</v>
      </c>
      <c r="D1248" s="168" t="s">
        <v>6667</v>
      </c>
      <c r="E1248" s="168" t="s">
        <v>2294</v>
      </c>
      <c r="F1248" s="168" t="s">
        <v>4623</v>
      </c>
      <c r="G1248" s="168" t="s">
        <v>4623</v>
      </c>
      <c r="H1248" s="292" t="s">
        <v>4623</v>
      </c>
      <c r="I1248" s="293" t="s">
        <v>4623</v>
      </c>
      <c r="J1248" s="293" t="s">
        <v>4623</v>
      </c>
      <c r="K1248" s="290" t="s">
        <v>4623</v>
      </c>
      <c r="L1248" s="290" t="s">
        <v>4623</v>
      </c>
      <c r="M1248" s="290" t="s">
        <v>4623</v>
      </c>
      <c r="N1248" s="290" t="s">
        <v>5927</v>
      </c>
      <c r="O1248" s="290" t="s">
        <v>4623</v>
      </c>
      <c r="P1248" s="290" t="s">
        <v>999</v>
      </c>
      <c r="Q1248" s="291" t="s">
        <v>6668</v>
      </c>
      <c r="R1248" s="276"/>
      <c r="S1248" s="277">
        <f>IF(OR(C1248="",C1248=T$4),NA(),MATCH($B1248&amp;$C1248,'Smelter Reference List'!$J:$J,0))</f>
        <v>442</v>
      </c>
      <c r="T1248" s="278"/>
      <c r="U1248" s="278"/>
      <c r="V1248" s="278"/>
      <c r="W1248" s="278"/>
    </row>
    <row r="1249" spans="1:23" s="269" customFormat="1" ht="20.25">
      <c r="A1249" s="267"/>
      <c r="B1249" s="275" t="s">
        <v>2437</v>
      </c>
      <c r="C1249" s="275" t="s">
        <v>3831</v>
      </c>
      <c r="D1249" s="168" t="s">
        <v>6669</v>
      </c>
      <c r="E1249" s="168" t="s">
        <v>2294</v>
      </c>
      <c r="F1249" s="168" t="s">
        <v>4623</v>
      </c>
      <c r="G1249" s="168" t="s">
        <v>4623</v>
      </c>
      <c r="H1249" s="292" t="s">
        <v>4623</v>
      </c>
      <c r="I1249" s="293" t="s">
        <v>6266</v>
      </c>
      <c r="J1249" s="293" t="s">
        <v>3656</v>
      </c>
      <c r="K1249" s="290" t="s">
        <v>6620</v>
      </c>
      <c r="L1249" s="290" t="s">
        <v>6621</v>
      </c>
      <c r="M1249" s="290" t="s">
        <v>4623</v>
      </c>
      <c r="N1249" s="290" t="s">
        <v>4623</v>
      </c>
      <c r="O1249" s="290" t="s">
        <v>4623</v>
      </c>
      <c r="P1249" s="290" t="s">
        <v>999</v>
      </c>
      <c r="Q1249" s="291" t="s">
        <v>4623</v>
      </c>
      <c r="R1249" s="276"/>
      <c r="S1249" s="277">
        <f>IF(OR(C1249="",C1249=T$4),NA(),MATCH($B1249&amp;$C1249,'Smelter Reference List'!$J:$J,0))</f>
        <v>442</v>
      </c>
      <c r="T1249" s="278"/>
      <c r="U1249" s="278"/>
      <c r="V1249" s="278"/>
      <c r="W1249" s="278"/>
    </row>
    <row r="1250" spans="1:23" s="269" customFormat="1" ht="20.25">
      <c r="A1250" s="267"/>
      <c r="B1250" s="275" t="s">
        <v>2437</v>
      </c>
      <c r="C1250" s="275" t="s">
        <v>3831</v>
      </c>
      <c r="D1250" s="168" t="s">
        <v>6670</v>
      </c>
      <c r="E1250" s="168" t="s">
        <v>2294</v>
      </c>
      <c r="F1250" s="168" t="s">
        <v>4623</v>
      </c>
      <c r="G1250" s="168" t="s">
        <v>4623</v>
      </c>
      <c r="H1250" s="292" t="s">
        <v>4623</v>
      </c>
      <c r="I1250" s="293" t="s">
        <v>4623</v>
      </c>
      <c r="J1250" s="293" t="s">
        <v>4623</v>
      </c>
      <c r="K1250" s="290" t="s">
        <v>4623</v>
      </c>
      <c r="L1250" s="290" t="s">
        <v>4623</v>
      </c>
      <c r="M1250" s="290" t="s">
        <v>4623</v>
      </c>
      <c r="N1250" s="290" t="s">
        <v>4623</v>
      </c>
      <c r="O1250" s="290" t="s">
        <v>4623</v>
      </c>
      <c r="P1250" s="290" t="s">
        <v>999</v>
      </c>
      <c r="Q1250" s="291" t="s">
        <v>4623</v>
      </c>
      <c r="R1250" s="276"/>
      <c r="S1250" s="277">
        <f>IF(OR(C1250="",C1250=T$4),NA(),MATCH($B1250&amp;$C1250,'Smelter Reference List'!$J:$J,0))</f>
        <v>442</v>
      </c>
      <c r="T1250" s="278"/>
      <c r="U1250" s="278"/>
      <c r="V1250" s="278"/>
      <c r="W1250" s="278"/>
    </row>
    <row r="1251" spans="1:23" s="269" customFormat="1" ht="20.25">
      <c r="A1251" s="267"/>
      <c r="B1251" s="275" t="s">
        <v>2437</v>
      </c>
      <c r="C1251" s="275" t="s">
        <v>3831</v>
      </c>
      <c r="D1251" s="168" t="s">
        <v>6671</v>
      </c>
      <c r="E1251" s="168" t="s">
        <v>2294</v>
      </c>
      <c r="F1251" s="168" t="s">
        <v>4623</v>
      </c>
      <c r="G1251" s="168" t="s">
        <v>4623</v>
      </c>
      <c r="H1251" s="292" t="s">
        <v>4623</v>
      </c>
      <c r="I1251" s="293" t="s">
        <v>4623</v>
      </c>
      <c r="J1251" s="293" t="s">
        <v>4623</v>
      </c>
      <c r="K1251" s="290" t="s">
        <v>4623</v>
      </c>
      <c r="L1251" s="290" t="s">
        <v>4623</v>
      </c>
      <c r="M1251" s="290" t="s">
        <v>4623</v>
      </c>
      <c r="N1251" s="290" t="s">
        <v>4623</v>
      </c>
      <c r="O1251" s="290" t="s">
        <v>4623</v>
      </c>
      <c r="P1251" s="290" t="s">
        <v>999</v>
      </c>
      <c r="Q1251" s="291" t="s">
        <v>4623</v>
      </c>
      <c r="R1251" s="276"/>
      <c r="S1251" s="277">
        <f>IF(OR(C1251="",C1251=T$4),NA(),MATCH($B1251&amp;$C1251,'Smelter Reference List'!$J:$J,0))</f>
        <v>442</v>
      </c>
      <c r="T1251" s="278"/>
      <c r="U1251" s="278"/>
      <c r="V1251" s="278"/>
      <c r="W1251" s="278"/>
    </row>
    <row r="1252" spans="1:23" s="269" customFormat="1" ht="20.25">
      <c r="A1252" s="267"/>
      <c r="B1252" s="275" t="s">
        <v>2437</v>
      </c>
      <c r="C1252" s="275" t="s">
        <v>3831</v>
      </c>
      <c r="D1252" s="168" t="s">
        <v>6672</v>
      </c>
      <c r="E1252" s="168" t="s">
        <v>2294</v>
      </c>
      <c r="F1252" s="168" t="s">
        <v>4623</v>
      </c>
      <c r="G1252" s="168" t="s">
        <v>4623</v>
      </c>
      <c r="H1252" s="292" t="s">
        <v>4623</v>
      </c>
      <c r="I1252" s="293" t="s">
        <v>4623</v>
      </c>
      <c r="J1252" s="293" t="s">
        <v>4623</v>
      </c>
      <c r="K1252" s="290" t="s">
        <v>4623</v>
      </c>
      <c r="L1252" s="290" t="s">
        <v>4623</v>
      </c>
      <c r="M1252" s="290" t="s">
        <v>4623</v>
      </c>
      <c r="N1252" s="290" t="s">
        <v>4623</v>
      </c>
      <c r="O1252" s="290" t="s">
        <v>4623</v>
      </c>
      <c r="P1252" s="290" t="s">
        <v>999</v>
      </c>
      <c r="Q1252" s="291" t="s">
        <v>4623</v>
      </c>
      <c r="R1252" s="276"/>
      <c r="S1252" s="277">
        <f>IF(OR(C1252="",C1252=T$4),NA(),MATCH($B1252&amp;$C1252,'Smelter Reference List'!$J:$J,0))</f>
        <v>442</v>
      </c>
      <c r="T1252" s="278"/>
      <c r="U1252" s="278"/>
      <c r="V1252" s="278"/>
      <c r="W1252" s="278"/>
    </row>
    <row r="1253" spans="1:23" s="269" customFormat="1" ht="20.25">
      <c r="A1253" s="267"/>
      <c r="B1253" s="275" t="s">
        <v>2437</v>
      </c>
      <c r="C1253" s="275" t="s">
        <v>3831</v>
      </c>
      <c r="D1253" s="168" t="s">
        <v>72</v>
      </c>
      <c r="E1253" s="168" t="s">
        <v>2294</v>
      </c>
      <c r="F1253" s="168" t="s">
        <v>4623</v>
      </c>
      <c r="G1253" s="168" t="s">
        <v>4623</v>
      </c>
      <c r="H1253" s="292" t="s">
        <v>4623</v>
      </c>
      <c r="I1253" s="293" t="s">
        <v>4623</v>
      </c>
      <c r="J1253" s="293" t="s">
        <v>4623</v>
      </c>
      <c r="K1253" s="290" t="s">
        <v>4623</v>
      </c>
      <c r="L1253" s="290" t="s">
        <v>4623</v>
      </c>
      <c r="M1253" s="290" t="s">
        <v>4623</v>
      </c>
      <c r="N1253" s="290" t="s">
        <v>4623</v>
      </c>
      <c r="O1253" s="290" t="s">
        <v>4623</v>
      </c>
      <c r="P1253" s="290" t="s">
        <v>999</v>
      </c>
      <c r="Q1253" s="291" t="s">
        <v>4623</v>
      </c>
      <c r="R1253" s="276"/>
      <c r="S1253" s="277">
        <f>IF(OR(C1253="",C1253=T$4),NA(),MATCH($B1253&amp;$C1253,'Smelter Reference List'!$J:$J,0))</f>
        <v>442</v>
      </c>
      <c r="T1253" s="278"/>
      <c r="U1253" s="278"/>
      <c r="V1253" s="278"/>
      <c r="W1253" s="278"/>
    </row>
    <row r="1254" spans="1:23" s="269" customFormat="1" ht="20.25">
      <c r="A1254" s="267"/>
      <c r="B1254" s="275" t="s">
        <v>2437</v>
      </c>
      <c r="C1254" s="275" t="s">
        <v>3831</v>
      </c>
      <c r="D1254" s="168" t="s">
        <v>6673</v>
      </c>
      <c r="E1254" s="168" t="s">
        <v>2294</v>
      </c>
      <c r="F1254" s="168" t="s">
        <v>4623</v>
      </c>
      <c r="G1254" s="168" t="s">
        <v>4623</v>
      </c>
      <c r="H1254" s="292" t="s">
        <v>4623</v>
      </c>
      <c r="I1254" s="293" t="s">
        <v>4623</v>
      </c>
      <c r="J1254" s="293" t="s">
        <v>4623</v>
      </c>
      <c r="K1254" s="290" t="s">
        <v>4623</v>
      </c>
      <c r="L1254" s="290" t="s">
        <v>4623</v>
      </c>
      <c r="M1254" s="290" t="s">
        <v>4623</v>
      </c>
      <c r="N1254" s="290" t="s">
        <v>4623</v>
      </c>
      <c r="O1254" s="290" t="s">
        <v>4623</v>
      </c>
      <c r="P1254" s="290" t="s">
        <v>999</v>
      </c>
      <c r="Q1254" s="291" t="s">
        <v>4623</v>
      </c>
      <c r="R1254" s="276"/>
      <c r="S1254" s="277">
        <f>IF(OR(C1254="",C1254=T$4),NA(),MATCH($B1254&amp;$C1254,'Smelter Reference List'!$J:$J,0))</f>
        <v>442</v>
      </c>
      <c r="T1254" s="278"/>
      <c r="U1254" s="278"/>
      <c r="V1254" s="278"/>
      <c r="W1254" s="278"/>
    </row>
    <row r="1255" spans="1:23" s="269" customFormat="1" ht="20.25">
      <c r="A1255" s="267"/>
      <c r="B1255" s="275" t="s">
        <v>2437</v>
      </c>
      <c r="C1255" s="275" t="s">
        <v>3831</v>
      </c>
      <c r="D1255" s="168" t="s">
        <v>6674</v>
      </c>
      <c r="E1255" s="168" t="s">
        <v>2294</v>
      </c>
      <c r="F1255" s="168" t="s">
        <v>4623</v>
      </c>
      <c r="G1255" s="168" t="s">
        <v>4623</v>
      </c>
      <c r="H1255" s="292" t="s">
        <v>4623</v>
      </c>
      <c r="I1255" s="293" t="s">
        <v>4623</v>
      </c>
      <c r="J1255" s="293" t="s">
        <v>4623</v>
      </c>
      <c r="K1255" s="290" t="s">
        <v>4623</v>
      </c>
      <c r="L1255" s="290" t="s">
        <v>4623</v>
      </c>
      <c r="M1255" s="290" t="s">
        <v>4623</v>
      </c>
      <c r="N1255" s="290" t="s">
        <v>4623</v>
      </c>
      <c r="O1255" s="290" t="s">
        <v>4623</v>
      </c>
      <c r="P1255" s="290" t="s">
        <v>999</v>
      </c>
      <c r="Q1255" s="291" t="s">
        <v>4623</v>
      </c>
      <c r="R1255" s="276"/>
      <c r="S1255" s="277">
        <f>IF(OR(C1255="",C1255=T$4),NA(),MATCH($B1255&amp;$C1255,'Smelter Reference List'!$J:$J,0))</f>
        <v>442</v>
      </c>
      <c r="T1255" s="278"/>
      <c r="U1255" s="278"/>
      <c r="V1255" s="278"/>
      <c r="W1255" s="278"/>
    </row>
    <row r="1256" spans="1:23" s="269" customFormat="1" ht="20.25">
      <c r="A1256" s="267"/>
      <c r="B1256" s="275" t="s">
        <v>2437</v>
      </c>
      <c r="C1256" s="275" t="s">
        <v>3831</v>
      </c>
      <c r="D1256" s="168" t="s">
        <v>6675</v>
      </c>
      <c r="E1256" s="168" t="s">
        <v>2294</v>
      </c>
      <c r="F1256" s="168" t="s">
        <v>4623</v>
      </c>
      <c r="G1256" s="168" t="s">
        <v>4623</v>
      </c>
      <c r="H1256" s="292" t="s">
        <v>4623</v>
      </c>
      <c r="I1256" s="293" t="s">
        <v>4623</v>
      </c>
      <c r="J1256" s="293" t="s">
        <v>4623</v>
      </c>
      <c r="K1256" s="290" t="s">
        <v>4623</v>
      </c>
      <c r="L1256" s="290" t="s">
        <v>4623</v>
      </c>
      <c r="M1256" s="290" t="s">
        <v>4623</v>
      </c>
      <c r="N1256" s="290" t="s">
        <v>4623</v>
      </c>
      <c r="O1256" s="290" t="s">
        <v>4623</v>
      </c>
      <c r="P1256" s="290" t="s">
        <v>999</v>
      </c>
      <c r="Q1256" s="291" t="s">
        <v>4623</v>
      </c>
      <c r="R1256" s="276"/>
      <c r="S1256" s="277">
        <f>IF(OR(C1256="",C1256=T$4),NA(),MATCH($B1256&amp;$C1256,'Smelter Reference List'!$J:$J,0))</f>
        <v>442</v>
      </c>
      <c r="T1256" s="278"/>
      <c r="U1256" s="278"/>
      <c r="V1256" s="278"/>
      <c r="W1256" s="278"/>
    </row>
    <row r="1257" spans="1:23" s="269" customFormat="1" ht="20.25">
      <c r="A1257" s="267"/>
      <c r="B1257" s="275" t="s">
        <v>2437</v>
      </c>
      <c r="C1257" s="275" t="s">
        <v>3831</v>
      </c>
      <c r="D1257" s="168" t="s">
        <v>6676</v>
      </c>
      <c r="E1257" s="168" t="s">
        <v>2294</v>
      </c>
      <c r="F1257" s="168" t="s">
        <v>4623</v>
      </c>
      <c r="G1257" s="168" t="s">
        <v>4623</v>
      </c>
      <c r="H1257" s="292" t="s">
        <v>4623</v>
      </c>
      <c r="I1257" s="293" t="s">
        <v>4623</v>
      </c>
      <c r="J1257" s="293" t="s">
        <v>4623</v>
      </c>
      <c r="K1257" s="290" t="s">
        <v>4623</v>
      </c>
      <c r="L1257" s="290" t="s">
        <v>4623</v>
      </c>
      <c r="M1257" s="290" t="s">
        <v>4623</v>
      </c>
      <c r="N1257" s="290" t="s">
        <v>4623</v>
      </c>
      <c r="O1257" s="290" t="s">
        <v>4623</v>
      </c>
      <c r="P1257" s="290" t="s">
        <v>999</v>
      </c>
      <c r="Q1257" s="291" t="s">
        <v>4623</v>
      </c>
      <c r="R1257" s="276"/>
      <c r="S1257" s="277">
        <f>IF(OR(C1257="",C1257=T$4),NA(),MATCH($B1257&amp;$C1257,'Smelter Reference List'!$J:$J,0))</f>
        <v>442</v>
      </c>
      <c r="T1257" s="278"/>
      <c r="U1257" s="278"/>
      <c r="V1257" s="278"/>
      <c r="W1257" s="278"/>
    </row>
    <row r="1258" spans="1:23" s="269" customFormat="1" ht="20.25">
      <c r="A1258" s="267"/>
      <c r="B1258" s="275" t="s">
        <v>2437</v>
      </c>
      <c r="C1258" s="275" t="s">
        <v>3831</v>
      </c>
      <c r="D1258" s="168" t="s">
        <v>6677</v>
      </c>
      <c r="E1258" s="168" t="s">
        <v>2294</v>
      </c>
      <c r="F1258" s="168" t="s">
        <v>4623</v>
      </c>
      <c r="G1258" s="168" t="s">
        <v>4623</v>
      </c>
      <c r="H1258" s="292" t="s">
        <v>4623</v>
      </c>
      <c r="I1258" s="293" t="s">
        <v>4623</v>
      </c>
      <c r="J1258" s="293" t="s">
        <v>4623</v>
      </c>
      <c r="K1258" s="290" t="s">
        <v>4623</v>
      </c>
      <c r="L1258" s="290" t="s">
        <v>4623</v>
      </c>
      <c r="M1258" s="290" t="s">
        <v>6377</v>
      </c>
      <c r="N1258" s="290" t="s">
        <v>5000</v>
      </c>
      <c r="O1258" s="290" t="s">
        <v>5000</v>
      </c>
      <c r="P1258" s="290" t="s">
        <v>999</v>
      </c>
      <c r="Q1258" s="291" t="s">
        <v>4623</v>
      </c>
      <c r="R1258" s="276"/>
      <c r="S1258" s="277">
        <f>IF(OR(C1258="",C1258=T$4),NA(),MATCH($B1258&amp;$C1258,'Smelter Reference List'!$J:$J,0))</f>
        <v>442</v>
      </c>
      <c r="T1258" s="278"/>
      <c r="U1258" s="278"/>
      <c r="V1258" s="278"/>
      <c r="W1258" s="278"/>
    </row>
    <row r="1259" spans="1:23" s="269" customFormat="1" ht="20.25">
      <c r="A1259" s="267"/>
      <c r="B1259" s="275" t="s">
        <v>2437</v>
      </c>
      <c r="C1259" s="275" t="s">
        <v>3831</v>
      </c>
      <c r="D1259" s="168" t="s">
        <v>5109</v>
      </c>
      <c r="E1259" s="168" t="s">
        <v>2294</v>
      </c>
      <c r="F1259" s="168" t="s">
        <v>4623</v>
      </c>
      <c r="G1259" s="168" t="s">
        <v>4623</v>
      </c>
      <c r="H1259" s="292" t="s">
        <v>4623</v>
      </c>
      <c r="I1259" s="293" t="s">
        <v>4623</v>
      </c>
      <c r="J1259" s="293" t="s">
        <v>4623</v>
      </c>
      <c r="K1259" s="290" t="s">
        <v>4623</v>
      </c>
      <c r="L1259" s="290" t="s">
        <v>4623</v>
      </c>
      <c r="M1259" s="290" t="s">
        <v>4623</v>
      </c>
      <c r="N1259" s="290" t="s">
        <v>4623</v>
      </c>
      <c r="O1259" s="290" t="s">
        <v>4623</v>
      </c>
      <c r="P1259" s="290" t="s">
        <v>999</v>
      </c>
      <c r="Q1259" s="291" t="s">
        <v>4623</v>
      </c>
      <c r="R1259" s="276"/>
      <c r="S1259" s="277">
        <f>IF(OR(C1259="",C1259=T$4),NA(),MATCH($B1259&amp;$C1259,'Smelter Reference List'!$J:$J,0))</f>
        <v>442</v>
      </c>
      <c r="T1259" s="278"/>
      <c r="U1259" s="278"/>
      <c r="V1259" s="278"/>
      <c r="W1259" s="278"/>
    </row>
    <row r="1260" spans="1:23" s="269" customFormat="1" ht="20.25">
      <c r="A1260" s="267"/>
      <c r="B1260" s="275" t="s">
        <v>2437</v>
      </c>
      <c r="C1260" s="275" t="s">
        <v>3831</v>
      </c>
      <c r="D1260" s="168" t="s">
        <v>6678</v>
      </c>
      <c r="E1260" s="168" t="s">
        <v>2294</v>
      </c>
      <c r="F1260" s="168" t="s">
        <v>4623</v>
      </c>
      <c r="G1260" s="168" t="s">
        <v>4623</v>
      </c>
      <c r="H1260" s="292"/>
      <c r="I1260" s="293" t="s">
        <v>4765</v>
      </c>
      <c r="J1260" s="293" t="s">
        <v>4766</v>
      </c>
      <c r="K1260" s="290" t="s">
        <v>6679</v>
      </c>
      <c r="L1260" s="290" t="s">
        <v>6680</v>
      </c>
      <c r="M1260" s="290" t="s">
        <v>4623</v>
      </c>
      <c r="N1260" s="290" t="s">
        <v>4623</v>
      </c>
      <c r="O1260" s="290" t="s">
        <v>4623</v>
      </c>
      <c r="P1260" s="290" t="s">
        <v>999</v>
      </c>
      <c r="Q1260" s="291" t="s">
        <v>4623</v>
      </c>
      <c r="R1260" s="276"/>
      <c r="S1260" s="277">
        <f>IF(OR(C1260="",C1260=T$4),NA(),MATCH($B1260&amp;$C1260,'Smelter Reference List'!$J:$J,0))</f>
        <v>442</v>
      </c>
      <c r="T1260" s="278"/>
      <c r="U1260" s="278"/>
      <c r="V1260" s="278"/>
      <c r="W1260" s="278"/>
    </row>
    <row r="1261" spans="1:23" s="269" customFormat="1" ht="20.25">
      <c r="A1261" s="267"/>
      <c r="B1261" s="275" t="s">
        <v>2437</v>
      </c>
      <c r="C1261" s="275" t="s">
        <v>3831</v>
      </c>
      <c r="D1261" s="168" t="s">
        <v>6681</v>
      </c>
      <c r="E1261" s="168" t="s">
        <v>2294</v>
      </c>
      <c r="F1261" s="168" t="s">
        <v>4623</v>
      </c>
      <c r="G1261" s="168" t="s">
        <v>4623</v>
      </c>
      <c r="H1261" s="292" t="s">
        <v>4623</v>
      </c>
      <c r="I1261" s="293" t="s">
        <v>4623</v>
      </c>
      <c r="J1261" s="293" t="s">
        <v>4623</v>
      </c>
      <c r="K1261" s="290" t="s">
        <v>4623</v>
      </c>
      <c r="L1261" s="290" t="s">
        <v>4623</v>
      </c>
      <c r="M1261" s="290" t="s">
        <v>4623</v>
      </c>
      <c r="N1261" s="290" t="s">
        <v>4623</v>
      </c>
      <c r="O1261" s="290" t="s">
        <v>4623</v>
      </c>
      <c r="P1261" s="290" t="s">
        <v>999</v>
      </c>
      <c r="Q1261" s="291" t="s">
        <v>4623</v>
      </c>
      <c r="R1261" s="276"/>
      <c r="S1261" s="277">
        <f>IF(OR(C1261="",C1261=T$4),NA(),MATCH($B1261&amp;$C1261,'Smelter Reference List'!$J:$J,0))</f>
        <v>442</v>
      </c>
      <c r="T1261" s="278"/>
      <c r="U1261" s="278"/>
      <c r="V1261" s="278"/>
      <c r="W1261" s="278"/>
    </row>
    <row r="1262" spans="1:23" s="269" customFormat="1" ht="20.25">
      <c r="A1262" s="267"/>
      <c r="B1262" s="275" t="s">
        <v>2437</v>
      </c>
      <c r="C1262" s="275" t="s">
        <v>3831</v>
      </c>
      <c r="D1262" s="168" t="s">
        <v>1256</v>
      </c>
      <c r="E1262" s="168" t="s">
        <v>2294</v>
      </c>
      <c r="F1262" s="168" t="s">
        <v>4623</v>
      </c>
      <c r="G1262" s="168" t="s">
        <v>4623</v>
      </c>
      <c r="H1262" s="292" t="s">
        <v>4623</v>
      </c>
      <c r="I1262" s="293" t="s">
        <v>4623</v>
      </c>
      <c r="J1262" s="293" t="s">
        <v>4623</v>
      </c>
      <c r="K1262" s="290" t="s">
        <v>4623</v>
      </c>
      <c r="L1262" s="290" t="s">
        <v>4623</v>
      </c>
      <c r="M1262" s="290" t="s">
        <v>4623</v>
      </c>
      <c r="N1262" s="290" t="s">
        <v>4623</v>
      </c>
      <c r="O1262" s="290" t="s">
        <v>4623</v>
      </c>
      <c r="P1262" s="290" t="s">
        <v>999</v>
      </c>
      <c r="Q1262" s="291" t="s">
        <v>4623</v>
      </c>
      <c r="R1262" s="276"/>
      <c r="S1262" s="277">
        <f>IF(OR(C1262="",C1262=T$4),NA(),MATCH($B1262&amp;$C1262,'Smelter Reference List'!$J:$J,0))</f>
        <v>442</v>
      </c>
      <c r="T1262" s="278"/>
      <c r="U1262" s="278"/>
      <c r="V1262" s="278"/>
      <c r="W1262" s="278"/>
    </row>
    <row r="1263" spans="1:23" s="269" customFormat="1" ht="20.25">
      <c r="A1263" s="267"/>
      <c r="B1263" s="275" t="s">
        <v>2437</v>
      </c>
      <c r="C1263" s="275" t="s">
        <v>3831</v>
      </c>
      <c r="D1263" s="168" t="s">
        <v>6682</v>
      </c>
      <c r="E1263" s="168" t="s">
        <v>2294</v>
      </c>
      <c r="F1263" s="168" t="s">
        <v>4623</v>
      </c>
      <c r="G1263" s="168" t="s">
        <v>4623</v>
      </c>
      <c r="H1263" s="292" t="s">
        <v>4623</v>
      </c>
      <c r="I1263" s="293" t="s">
        <v>4623</v>
      </c>
      <c r="J1263" s="293" t="s">
        <v>4623</v>
      </c>
      <c r="K1263" s="290" t="s">
        <v>4623</v>
      </c>
      <c r="L1263" s="290" t="s">
        <v>4623</v>
      </c>
      <c r="M1263" s="290" t="s">
        <v>4623</v>
      </c>
      <c r="N1263" s="290" t="s">
        <v>4623</v>
      </c>
      <c r="O1263" s="290" t="s">
        <v>4623</v>
      </c>
      <c r="P1263" s="290" t="s">
        <v>999</v>
      </c>
      <c r="Q1263" s="291" t="s">
        <v>4623</v>
      </c>
      <c r="R1263" s="276"/>
      <c r="S1263" s="277">
        <f>IF(OR(C1263="",C1263=T$4),NA(),MATCH($B1263&amp;$C1263,'Smelter Reference List'!$J:$J,0))</f>
        <v>442</v>
      </c>
      <c r="T1263" s="278"/>
      <c r="U1263" s="278"/>
      <c r="V1263" s="278"/>
      <c r="W1263" s="278"/>
    </row>
    <row r="1264" spans="1:23" s="269" customFormat="1" ht="20.25">
      <c r="A1264" s="267"/>
      <c r="B1264" s="275" t="s">
        <v>2437</v>
      </c>
      <c r="C1264" s="275" t="s">
        <v>3831</v>
      </c>
      <c r="D1264" s="168" t="s">
        <v>6683</v>
      </c>
      <c r="E1264" s="168" t="s">
        <v>2294</v>
      </c>
      <c r="F1264" s="168" t="s">
        <v>4623</v>
      </c>
      <c r="G1264" s="168" t="s">
        <v>4623</v>
      </c>
      <c r="H1264" s="292" t="s">
        <v>4623</v>
      </c>
      <c r="I1264" s="293" t="s">
        <v>4623</v>
      </c>
      <c r="J1264" s="293" t="s">
        <v>4623</v>
      </c>
      <c r="K1264" s="290" t="s">
        <v>4623</v>
      </c>
      <c r="L1264" s="290" t="s">
        <v>4623</v>
      </c>
      <c r="M1264" s="290" t="s">
        <v>4623</v>
      </c>
      <c r="N1264" s="290" t="s">
        <v>4623</v>
      </c>
      <c r="O1264" s="290" t="s">
        <v>4623</v>
      </c>
      <c r="P1264" s="290" t="s">
        <v>999</v>
      </c>
      <c r="Q1264" s="291" t="s">
        <v>4623</v>
      </c>
      <c r="R1264" s="276"/>
      <c r="S1264" s="277">
        <f>IF(OR(C1264="",C1264=T$4),NA(),MATCH($B1264&amp;$C1264,'Smelter Reference List'!$J:$J,0))</f>
        <v>442</v>
      </c>
      <c r="T1264" s="278"/>
      <c r="U1264" s="278"/>
      <c r="V1264" s="278"/>
      <c r="W1264" s="278"/>
    </row>
    <row r="1265" spans="1:23" s="269" customFormat="1" ht="20.25">
      <c r="A1265" s="267"/>
      <c r="B1265" s="275" t="s">
        <v>2437</v>
      </c>
      <c r="C1265" s="275" t="s">
        <v>3831</v>
      </c>
      <c r="D1265" s="168" t="s">
        <v>6684</v>
      </c>
      <c r="E1265" s="168" t="s">
        <v>2294</v>
      </c>
      <c r="F1265" s="168" t="s">
        <v>4623</v>
      </c>
      <c r="G1265" s="168" t="s">
        <v>4623</v>
      </c>
      <c r="H1265" s="292" t="s">
        <v>4623</v>
      </c>
      <c r="I1265" s="293" t="s">
        <v>4623</v>
      </c>
      <c r="J1265" s="293" t="s">
        <v>4623</v>
      </c>
      <c r="K1265" s="290" t="s">
        <v>4623</v>
      </c>
      <c r="L1265" s="290" t="s">
        <v>4623</v>
      </c>
      <c r="M1265" s="290" t="s">
        <v>4623</v>
      </c>
      <c r="N1265" s="290" t="s">
        <v>4623</v>
      </c>
      <c r="O1265" s="290" t="s">
        <v>4623</v>
      </c>
      <c r="P1265" s="290" t="s">
        <v>999</v>
      </c>
      <c r="Q1265" s="291" t="s">
        <v>4623</v>
      </c>
      <c r="R1265" s="276"/>
      <c r="S1265" s="277">
        <f>IF(OR(C1265="",C1265=T$4),NA(),MATCH($B1265&amp;$C1265,'Smelter Reference List'!$J:$J,0))</f>
        <v>442</v>
      </c>
      <c r="T1265" s="278"/>
      <c r="U1265" s="278"/>
      <c r="V1265" s="278"/>
      <c r="W1265" s="278"/>
    </row>
    <row r="1266" spans="1:23" s="269" customFormat="1" ht="20.25">
      <c r="A1266" s="267"/>
      <c r="B1266" s="275" t="s">
        <v>2437</v>
      </c>
      <c r="C1266" s="275" t="s">
        <v>3831</v>
      </c>
      <c r="D1266" s="168" t="s">
        <v>6685</v>
      </c>
      <c r="E1266" s="168" t="s">
        <v>2294</v>
      </c>
      <c r="F1266" s="168" t="s">
        <v>4623</v>
      </c>
      <c r="G1266" s="168" t="s">
        <v>4623</v>
      </c>
      <c r="H1266" s="292" t="s">
        <v>4623</v>
      </c>
      <c r="I1266" s="293" t="s">
        <v>4623</v>
      </c>
      <c r="J1266" s="293" t="s">
        <v>4623</v>
      </c>
      <c r="K1266" s="290" t="s">
        <v>4623</v>
      </c>
      <c r="L1266" s="290" t="s">
        <v>4623</v>
      </c>
      <c r="M1266" s="290" t="s">
        <v>4623</v>
      </c>
      <c r="N1266" s="290" t="s">
        <v>4623</v>
      </c>
      <c r="O1266" s="290" t="s">
        <v>4623</v>
      </c>
      <c r="P1266" s="290" t="s">
        <v>999</v>
      </c>
      <c r="Q1266" s="291" t="s">
        <v>4623</v>
      </c>
      <c r="R1266" s="276"/>
      <c r="S1266" s="277">
        <f>IF(OR(C1266="",C1266=T$4),NA(),MATCH($B1266&amp;$C1266,'Smelter Reference List'!$J:$J,0))</f>
        <v>442</v>
      </c>
      <c r="T1266" s="278"/>
      <c r="U1266" s="278"/>
      <c r="V1266" s="278"/>
      <c r="W1266" s="278"/>
    </row>
    <row r="1267" spans="1:23" s="269" customFormat="1" ht="20.25">
      <c r="A1267" s="267"/>
      <c r="B1267" s="275" t="s">
        <v>2437</v>
      </c>
      <c r="C1267" s="275" t="s">
        <v>3831</v>
      </c>
      <c r="D1267" s="168" t="s">
        <v>6686</v>
      </c>
      <c r="E1267" s="168" t="s">
        <v>2294</v>
      </c>
      <c r="F1267" s="168" t="s">
        <v>4623</v>
      </c>
      <c r="G1267" s="168" t="s">
        <v>4623</v>
      </c>
      <c r="H1267" s="292" t="s">
        <v>4623</v>
      </c>
      <c r="I1267" s="293" t="s">
        <v>4623</v>
      </c>
      <c r="J1267" s="293" t="s">
        <v>4623</v>
      </c>
      <c r="K1267" s="290" t="s">
        <v>4623</v>
      </c>
      <c r="L1267" s="290" t="s">
        <v>4623</v>
      </c>
      <c r="M1267" s="290" t="s">
        <v>4623</v>
      </c>
      <c r="N1267" s="290" t="s">
        <v>4623</v>
      </c>
      <c r="O1267" s="290" t="s">
        <v>4623</v>
      </c>
      <c r="P1267" s="290" t="s">
        <v>999</v>
      </c>
      <c r="Q1267" s="291" t="s">
        <v>4623</v>
      </c>
      <c r="R1267" s="276"/>
      <c r="S1267" s="277">
        <f>IF(OR(C1267="",C1267=T$4),NA(),MATCH($B1267&amp;$C1267,'Smelter Reference List'!$J:$J,0))</f>
        <v>442</v>
      </c>
      <c r="T1267" s="278"/>
      <c r="U1267" s="278"/>
      <c r="V1267" s="278"/>
      <c r="W1267" s="278"/>
    </row>
    <row r="1268" spans="1:23" s="269" customFormat="1" ht="20.25">
      <c r="A1268" s="267"/>
      <c r="B1268" s="275" t="s">
        <v>2437</v>
      </c>
      <c r="C1268" s="275" t="s">
        <v>3831</v>
      </c>
      <c r="D1268" s="168" t="s">
        <v>6687</v>
      </c>
      <c r="E1268" s="168" t="s">
        <v>2294</v>
      </c>
      <c r="F1268" s="168" t="s">
        <v>4623</v>
      </c>
      <c r="G1268" s="168" t="s">
        <v>4623</v>
      </c>
      <c r="H1268" s="292" t="s">
        <v>4623</v>
      </c>
      <c r="I1268" s="293" t="s">
        <v>4623</v>
      </c>
      <c r="J1268" s="293" t="s">
        <v>4623</v>
      </c>
      <c r="K1268" s="290" t="s">
        <v>4623</v>
      </c>
      <c r="L1268" s="290" t="s">
        <v>4623</v>
      </c>
      <c r="M1268" s="290" t="s">
        <v>4623</v>
      </c>
      <c r="N1268" s="290" t="s">
        <v>4623</v>
      </c>
      <c r="O1268" s="290" t="s">
        <v>4623</v>
      </c>
      <c r="P1268" s="290" t="s">
        <v>999</v>
      </c>
      <c r="Q1268" s="291" t="s">
        <v>4623</v>
      </c>
      <c r="R1268" s="276"/>
      <c r="S1268" s="277">
        <f>IF(OR(C1268="",C1268=T$4),NA(),MATCH($B1268&amp;$C1268,'Smelter Reference List'!$J:$J,0))</f>
        <v>442</v>
      </c>
      <c r="T1268" s="278"/>
      <c r="U1268" s="278"/>
      <c r="V1268" s="278"/>
      <c r="W1268" s="278"/>
    </row>
    <row r="1269" spans="1:23" s="269" customFormat="1" ht="20.25">
      <c r="A1269" s="267"/>
      <c r="B1269" s="275" t="s">
        <v>2437</v>
      </c>
      <c r="C1269" s="275" t="s">
        <v>3831</v>
      </c>
      <c r="D1269" s="168" t="s">
        <v>6688</v>
      </c>
      <c r="E1269" s="168" t="s">
        <v>2294</v>
      </c>
      <c r="F1269" s="168" t="s">
        <v>4623</v>
      </c>
      <c r="G1269" s="168" t="s">
        <v>4623</v>
      </c>
      <c r="H1269" s="292" t="s">
        <v>4623</v>
      </c>
      <c r="I1269" s="293" t="s">
        <v>4623</v>
      </c>
      <c r="J1269" s="293" t="s">
        <v>4623</v>
      </c>
      <c r="K1269" s="290" t="s">
        <v>4623</v>
      </c>
      <c r="L1269" s="290" t="s">
        <v>4623</v>
      </c>
      <c r="M1269" s="290" t="s">
        <v>4623</v>
      </c>
      <c r="N1269" s="290" t="s">
        <v>4623</v>
      </c>
      <c r="O1269" s="290" t="s">
        <v>4623</v>
      </c>
      <c r="P1269" s="290" t="s">
        <v>999</v>
      </c>
      <c r="Q1269" s="291" t="s">
        <v>4623</v>
      </c>
      <c r="R1269" s="276"/>
      <c r="S1269" s="277">
        <f>IF(OR(C1269="",C1269=T$4),NA(),MATCH($B1269&amp;$C1269,'Smelter Reference List'!$J:$J,0))</f>
        <v>442</v>
      </c>
      <c r="T1269" s="278"/>
      <c r="U1269" s="278"/>
      <c r="V1269" s="278"/>
      <c r="W1269" s="278"/>
    </row>
    <row r="1270" spans="1:23" s="269" customFormat="1" ht="20.25">
      <c r="A1270" s="267"/>
      <c r="B1270" s="275" t="s">
        <v>2437</v>
      </c>
      <c r="C1270" s="275" t="s">
        <v>3831</v>
      </c>
      <c r="D1270" s="168" t="s">
        <v>1277</v>
      </c>
      <c r="E1270" s="168" t="s">
        <v>2294</v>
      </c>
      <c r="F1270" s="168" t="s">
        <v>4623</v>
      </c>
      <c r="G1270" s="168" t="s">
        <v>4623</v>
      </c>
      <c r="H1270" s="292" t="s">
        <v>4623</v>
      </c>
      <c r="I1270" s="293" t="s">
        <v>4623</v>
      </c>
      <c r="J1270" s="293" t="s">
        <v>4623</v>
      </c>
      <c r="K1270" s="290" t="s">
        <v>4623</v>
      </c>
      <c r="L1270" s="290" t="s">
        <v>4623</v>
      </c>
      <c r="M1270" s="290" t="s">
        <v>4623</v>
      </c>
      <c r="N1270" s="290" t="s">
        <v>4623</v>
      </c>
      <c r="O1270" s="290" t="s">
        <v>4623</v>
      </c>
      <c r="P1270" s="290" t="s">
        <v>999</v>
      </c>
      <c r="Q1270" s="291" t="s">
        <v>4623</v>
      </c>
      <c r="R1270" s="276"/>
      <c r="S1270" s="277">
        <f>IF(OR(C1270="",C1270=T$4),NA(),MATCH($B1270&amp;$C1270,'Smelter Reference List'!$J:$J,0))</f>
        <v>442</v>
      </c>
      <c r="T1270" s="278"/>
      <c r="U1270" s="278"/>
      <c r="V1270" s="278"/>
      <c r="W1270" s="278"/>
    </row>
    <row r="1271" spans="1:23" s="269" customFormat="1" ht="20.25">
      <c r="A1271" s="267"/>
      <c r="B1271" s="275" t="s">
        <v>2437</v>
      </c>
      <c r="C1271" s="275" t="s">
        <v>3831</v>
      </c>
      <c r="D1271" s="168" t="s">
        <v>6689</v>
      </c>
      <c r="E1271" s="168" t="s">
        <v>2294</v>
      </c>
      <c r="F1271" s="168" t="s">
        <v>4623</v>
      </c>
      <c r="G1271" s="168" t="s">
        <v>4623</v>
      </c>
      <c r="H1271" s="292" t="s">
        <v>4623</v>
      </c>
      <c r="I1271" s="293" t="s">
        <v>4623</v>
      </c>
      <c r="J1271" s="293" t="s">
        <v>4623</v>
      </c>
      <c r="K1271" s="290" t="s">
        <v>4623</v>
      </c>
      <c r="L1271" s="290" t="s">
        <v>4623</v>
      </c>
      <c r="M1271" s="290" t="s">
        <v>6377</v>
      </c>
      <c r="N1271" s="290" t="s">
        <v>5000</v>
      </c>
      <c r="O1271" s="290" t="s">
        <v>5000</v>
      </c>
      <c r="P1271" s="290" t="s">
        <v>999</v>
      </c>
      <c r="Q1271" s="291" t="s">
        <v>4623</v>
      </c>
      <c r="R1271" s="276"/>
      <c r="S1271" s="277">
        <f>IF(OR(C1271="",C1271=T$4),NA(),MATCH($B1271&amp;$C1271,'Smelter Reference List'!$J:$J,0))</f>
        <v>442</v>
      </c>
      <c r="T1271" s="278"/>
      <c r="U1271" s="278"/>
      <c r="V1271" s="278"/>
      <c r="W1271" s="278"/>
    </row>
    <row r="1272" spans="1:23" s="269" customFormat="1" ht="20.25">
      <c r="A1272" s="267"/>
      <c r="B1272" s="275" t="s">
        <v>2437</v>
      </c>
      <c r="C1272" s="275" t="s">
        <v>3831</v>
      </c>
      <c r="D1272" s="168" t="s">
        <v>6690</v>
      </c>
      <c r="E1272" s="168" t="s">
        <v>2294</v>
      </c>
      <c r="F1272" s="168" t="s">
        <v>4623</v>
      </c>
      <c r="G1272" s="168" t="s">
        <v>4623</v>
      </c>
      <c r="H1272" s="292" t="s">
        <v>4623</v>
      </c>
      <c r="I1272" s="293" t="s">
        <v>4623</v>
      </c>
      <c r="J1272" s="293" t="s">
        <v>4623</v>
      </c>
      <c r="K1272" s="290" t="s">
        <v>4623</v>
      </c>
      <c r="L1272" s="290" t="s">
        <v>4623</v>
      </c>
      <c r="M1272" s="290" t="s">
        <v>6377</v>
      </c>
      <c r="N1272" s="290" t="s">
        <v>5000</v>
      </c>
      <c r="O1272" s="290" t="s">
        <v>5000</v>
      </c>
      <c r="P1272" s="290" t="s">
        <v>999</v>
      </c>
      <c r="Q1272" s="291" t="s">
        <v>4623</v>
      </c>
      <c r="R1272" s="276"/>
      <c r="S1272" s="277">
        <f>IF(OR(C1272="",C1272=T$4),NA(),MATCH($B1272&amp;$C1272,'Smelter Reference List'!$J:$J,0))</f>
        <v>442</v>
      </c>
      <c r="T1272" s="278"/>
      <c r="U1272" s="278"/>
      <c r="V1272" s="278"/>
      <c r="W1272" s="278"/>
    </row>
    <row r="1273" spans="1:23" s="269" customFormat="1" ht="20.25">
      <c r="A1273" s="267"/>
      <c r="B1273" s="275" t="s">
        <v>2437</v>
      </c>
      <c r="C1273" s="275" t="s">
        <v>3831</v>
      </c>
      <c r="D1273" s="168" t="s">
        <v>4541</v>
      </c>
      <c r="E1273" s="168" t="s">
        <v>2294</v>
      </c>
      <c r="F1273" s="168" t="s">
        <v>4623</v>
      </c>
      <c r="G1273" s="168" t="s">
        <v>4623</v>
      </c>
      <c r="H1273" s="292" t="s">
        <v>4623</v>
      </c>
      <c r="I1273" s="293" t="s">
        <v>4623</v>
      </c>
      <c r="J1273" s="293" t="s">
        <v>4623</v>
      </c>
      <c r="K1273" s="290" t="s">
        <v>4623</v>
      </c>
      <c r="L1273" s="290" t="s">
        <v>4623</v>
      </c>
      <c r="M1273" s="290" t="s">
        <v>4623</v>
      </c>
      <c r="N1273" s="290" t="s">
        <v>4623</v>
      </c>
      <c r="O1273" s="290" t="s">
        <v>4623</v>
      </c>
      <c r="P1273" s="290" t="s">
        <v>999</v>
      </c>
      <c r="Q1273" s="291" t="s">
        <v>4623</v>
      </c>
      <c r="R1273" s="276"/>
      <c r="S1273" s="277">
        <f>IF(OR(C1273="",C1273=T$4),NA(),MATCH($B1273&amp;$C1273,'Smelter Reference List'!$J:$J,0))</f>
        <v>442</v>
      </c>
      <c r="T1273" s="278"/>
      <c r="U1273" s="278"/>
      <c r="V1273" s="278"/>
      <c r="W1273" s="278"/>
    </row>
    <row r="1274" spans="1:23" s="269" customFormat="1" ht="20.25">
      <c r="A1274" s="267"/>
      <c r="B1274" s="275" t="s">
        <v>2437</v>
      </c>
      <c r="C1274" s="275" t="s">
        <v>3831</v>
      </c>
      <c r="D1274" s="168" t="s">
        <v>6691</v>
      </c>
      <c r="E1274" s="168" t="s">
        <v>2294</v>
      </c>
      <c r="F1274" s="168" t="s">
        <v>4623</v>
      </c>
      <c r="G1274" s="168" t="s">
        <v>4623</v>
      </c>
      <c r="H1274" s="292" t="s">
        <v>4623</v>
      </c>
      <c r="I1274" s="293" t="s">
        <v>4623</v>
      </c>
      <c r="J1274" s="293" t="s">
        <v>4623</v>
      </c>
      <c r="K1274" s="290" t="s">
        <v>4623</v>
      </c>
      <c r="L1274" s="290" t="s">
        <v>4623</v>
      </c>
      <c r="M1274" s="290" t="s">
        <v>4623</v>
      </c>
      <c r="N1274" s="290" t="s">
        <v>4623</v>
      </c>
      <c r="O1274" s="290" t="s">
        <v>4623</v>
      </c>
      <c r="P1274" s="290" t="s">
        <v>999</v>
      </c>
      <c r="Q1274" s="291" t="s">
        <v>4623</v>
      </c>
      <c r="R1274" s="276"/>
      <c r="S1274" s="277">
        <f>IF(OR(C1274="",C1274=T$4),NA(),MATCH($B1274&amp;$C1274,'Smelter Reference List'!$J:$J,0))</f>
        <v>442</v>
      </c>
      <c r="T1274" s="278"/>
      <c r="U1274" s="278"/>
      <c r="V1274" s="278"/>
      <c r="W1274" s="278"/>
    </row>
    <row r="1275" spans="1:23" s="269" customFormat="1" ht="20.25">
      <c r="A1275" s="267"/>
      <c r="B1275" s="275" t="s">
        <v>2437</v>
      </c>
      <c r="C1275" s="275" t="s">
        <v>3831</v>
      </c>
      <c r="D1275" s="168" t="s">
        <v>6692</v>
      </c>
      <c r="E1275" s="168" t="s">
        <v>2294</v>
      </c>
      <c r="F1275" s="168" t="s">
        <v>4623</v>
      </c>
      <c r="G1275" s="168" t="s">
        <v>4623</v>
      </c>
      <c r="H1275" s="292" t="s">
        <v>4623</v>
      </c>
      <c r="I1275" s="293" t="s">
        <v>4623</v>
      </c>
      <c r="J1275" s="293" t="s">
        <v>4623</v>
      </c>
      <c r="K1275" s="290" t="s">
        <v>4623</v>
      </c>
      <c r="L1275" s="290" t="s">
        <v>4623</v>
      </c>
      <c r="M1275" s="290" t="s">
        <v>6377</v>
      </c>
      <c r="N1275" s="290" t="s">
        <v>5000</v>
      </c>
      <c r="O1275" s="290" t="s">
        <v>5000</v>
      </c>
      <c r="P1275" s="290" t="s">
        <v>999</v>
      </c>
      <c r="Q1275" s="291" t="s">
        <v>4623</v>
      </c>
      <c r="R1275" s="276"/>
      <c r="S1275" s="277">
        <f>IF(OR(C1275="",C1275=T$4),NA(),MATCH($B1275&amp;$C1275,'Smelter Reference List'!$J:$J,0))</f>
        <v>442</v>
      </c>
      <c r="T1275" s="278"/>
      <c r="U1275" s="278"/>
      <c r="V1275" s="278"/>
      <c r="W1275" s="278"/>
    </row>
    <row r="1276" spans="1:23" s="269" customFormat="1" ht="20.25">
      <c r="A1276" s="267"/>
      <c r="B1276" s="275" t="s">
        <v>2437</v>
      </c>
      <c r="C1276" s="275" t="s">
        <v>3831</v>
      </c>
      <c r="D1276" s="168" t="s">
        <v>6693</v>
      </c>
      <c r="E1276" s="168" t="s">
        <v>2294</v>
      </c>
      <c r="F1276" s="168" t="s">
        <v>4623</v>
      </c>
      <c r="G1276" s="168" t="s">
        <v>4623</v>
      </c>
      <c r="H1276" s="292" t="s">
        <v>4623</v>
      </c>
      <c r="I1276" s="293" t="s">
        <v>4623</v>
      </c>
      <c r="J1276" s="293" t="s">
        <v>4623</v>
      </c>
      <c r="K1276" s="290" t="s">
        <v>4623</v>
      </c>
      <c r="L1276" s="290" t="s">
        <v>4623</v>
      </c>
      <c r="M1276" s="290" t="s">
        <v>4623</v>
      </c>
      <c r="N1276" s="290" t="s">
        <v>4623</v>
      </c>
      <c r="O1276" s="290" t="s">
        <v>4623</v>
      </c>
      <c r="P1276" s="290" t="s">
        <v>999</v>
      </c>
      <c r="Q1276" s="291" t="s">
        <v>4623</v>
      </c>
      <c r="R1276" s="276"/>
      <c r="S1276" s="277">
        <f>IF(OR(C1276="",C1276=T$4),NA(),MATCH($B1276&amp;$C1276,'Smelter Reference List'!$J:$J,0))</f>
        <v>442</v>
      </c>
      <c r="T1276" s="278"/>
      <c r="U1276" s="278"/>
      <c r="V1276" s="278"/>
      <c r="W1276" s="278"/>
    </row>
    <row r="1277" spans="1:23" s="269" customFormat="1" ht="20.25">
      <c r="A1277" s="267"/>
      <c r="B1277" s="275" t="s">
        <v>2437</v>
      </c>
      <c r="C1277" s="275" t="s">
        <v>3831</v>
      </c>
      <c r="D1277" s="168" t="s">
        <v>6694</v>
      </c>
      <c r="E1277" s="168" t="s">
        <v>2294</v>
      </c>
      <c r="F1277" s="168" t="s">
        <v>4623</v>
      </c>
      <c r="G1277" s="168" t="s">
        <v>4623</v>
      </c>
      <c r="H1277" s="292" t="s">
        <v>4623</v>
      </c>
      <c r="I1277" s="293" t="s">
        <v>4623</v>
      </c>
      <c r="J1277" s="293" t="s">
        <v>4623</v>
      </c>
      <c r="K1277" s="290" t="s">
        <v>4623</v>
      </c>
      <c r="L1277" s="290" t="s">
        <v>4623</v>
      </c>
      <c r="M1277" s="290" t="s">
        <v>6377</v>
      </c>
      <c r="N1277" s="290" t="s">
        <v>5000</v>
      </c>
      <c r="O1277" s="290" t="s">
        <v>5000</v>
      </c>
      <c r="P1277" s="290" t="s">
        <v>999</v>
      </c>
      <c r="Q1277" s="291" t="s">
        <v>4623</v>
      </c>
      <c r="R1277" s="276"/>
      <c r="S1277" s="277">
        <f>IF(OR(C1277="",C1277=T$4),NA(),MATCH($B1277&amp;$C1277,'Smelter Reference List'!$J:$J,0))</f>
        <v>442</v>
      </c>
      <c r="T1277" s="278"/>
      <c r="U1277" s="278"/>
      <c r="V1277" s="278"/>
      <c r="W1277" s="278"/>
    </row>
    <row r="1278" spans="1:23" s="269" customFormat="1" ht="20.25">
      <c r="A1278" s="267"/>
      <c r="B1278" s="275" t="s">
        <v>2437</v>
      </c>
      <c r="C1278" s="275" t="s">
        <v>3831</v>
      </c>
      <c r="D1278" s="168" t="s">
        <v>6695</v>
      </c>
      <c r="E1278" s="168" t="s">
        <v>2294</v>
      </c>
      <c r="F1278" s="168" t="s">
        <v>4623</v>
      </c>
      <c r="G1278" s="168" t="s">
        <v>4623</v>
      </c>
      <c r="H1278" s="292" t="s">
        <v>4853</v>
      </c>
      <c r="I1278" s="293" t="s">
        <v>4811</v>
      </c>
      <c r="J1278" s="293" t="s">
        <v>4623</v>
      </c>
      <c r="K1278" s="290" t="s">
        <v>6384</v>
      </c>
      <c r="L1278" s="290" t="s">
        <v>4854</v>
      </c>
      <c r="M1278" s="290" t="s">
        <v>4623</v>
      </c>
      <c r="N1278" s="290" t="s">
        <v>4628</v>
      </c>
      <c r="O1278" s="290" t="s">
        <v>4623</v>
      </c>
      <c r="P1278" s="290" t="s">
        <v>999</v>
      </c>
      <c r="Q1278" s="291" t="s">
        <v>4623</v>
      </c>
      <c r="R1278" s="276"/>
      <c r="S1278" s="277">
        <f>IF(OR(C1278="",C1278=T$4),NA(),MATCH($B1278&amp;$C1278,'Smelter Reference List'!$J:$J,0))</f>
        <v>442</v>
      </c>
      <c r="T1278" s="278"/>
      <c r="U1278" s="278"/>
      <c r="V1278" s="278"/>
      <c r="W1278" s="278"/>
    </row>
    <row r="1279" spans="1:23" s="269" customFormat="1" ht="20.25">
      <c r="A1279" s="267"/>
      <c r="B1279" s="275" t="s">
        <v>2437</v>
      </c>
      <c r="C1279" s="275" t="s">
        <v>3831</v>
      </c>
      <c r="D1279" s="168" t="s">
        <v>6696</v>
      </c>
      <c r="E1279" s="168" t="s">
        <v>2294</v>
      </c>
      <c r="F1279" s="168" t="s">
        <v>4623</v>
      </c>
      <c r="G1279" s="168" t="s">
        <v>4623</v>
      </c>
      <c r="H1279" s="292" t="s">
        <v>4623</v>
      </c>
      <c r="I1279" s="293" t="s">
        <v>4623</v>
      </c>
      <c r="J1279" s="293" t="s">
        <v>4623</v>
      </c>
      <c r="K1279" s="290" t="s">
        <v>4623</v>
      </c>
      <c r="L1279" s="290" t="s">
        <v>4623</v>
      </c>
      <c r="M1279" s="290" t="s">
        <v>4623</v>
      </c>
      <c r="N1279" s="290" t="s">
        <v>4623</v>
      </c>
      <c r="O1279" s="290" t="s">
        <v>4623</v>
      </c>
      <c r="P1279" s="290" t="s">
        <v>999</v>
      </c>
      <c r="Q1279" s="291" t="s">
        <v>4623</v>
      </c>
      <c r="R1279" s="276"/>
      <c r="S1279" s="277">
        <f>IF(OR(C1279="",C1279=T$4),NA(),MATCH($B1279&amp;$C1279,'Smelter Reference List'!$J:$J,0))</f>
        <v>442</v>
      </c>
      <c r="T1279" s="278"/>
      <c r="U1279" s="278"/>
      <c r="V1279" s="278"/>
      <c r="W1279" s="278"/>
    </row>
    <row r="1280" spans="1:23" s="269" customFormat="1" ht="20.25">
      <c r="A1280" s="267"/>
      <c r="B1280" s="275" t="s">
        <v>2437</v>
      </c>
      <c r="C1280" s="275" t="s">
        <v>3831</v>
      </c>
      <c r="D1280" s="168" t="s">
        <v>6697</v>
      </c>
      <c r="E1280" s="168" t="s">
        <v>2294</v>
      </c>
      <c r="F1280" s="168" t="s">
        <v>4623</v>
      </c>
      <c r="G1280" s="168" t="s">
        <v>4623</v>
      </c>
      <c r="H1280" s="292" t="s">
        <v>4623</v>
      </c>
      <c r="I1280" s="293" t="s">
        <v>4623</v>
      </c>
      <c r="J1280" s="293" t="s">
        <v>4623</v>
      </c>
      <c r="K1280" s="290" t="s">
        <v>4623</v>
      </c>
      <c r="L1280" s="290" t="s">
        <v>4623</v>
      </c>
      <c r="M1280" s="290" t="s">
        <v>4623</v>
      </c>
      <c r="N1280" s="290" t="s">
        <v>4623</v>
      </c>
      <c r="O1280" s="290" t="s">
        <v>4623</v>
      </c>
      <c r="P1280" s="290" t="s">
        <v>999</v>
      </c>
      <c r="Q1280" s="291" t="s">
        <v>4623</v>
      </c>
      <c r="R1280" s="276"/>
      <c r="S1280" s="277">
        <f>IF(OR(C1280="",C1280=T$4),NA(),MATCH($B1280&amp;$C1280,'Smelter Reference List'!$J:$J,0))</f>
        <v>442</v>
      </c>
      <c r="T1280" s="278"/>
      <c r="U1280" s="278"/>
      <c r="V1280" s="278"/>
      <c r="W1280" s="278"/>
    </row>
    <row r="1281" spans="1:23" s="269" customFormat="1" ht="20.25">
      <c r="A1281" s="267"/>
      <c r="B1281" s="275" t="s">
        <v>2437</v>
      </c>
      <c r="C1281" s="275" t="s">
        <v>3831</v>
      </c>
      <c r="D1281" s="168" t="s">
        <v>6386</v>
      </c>
      <c r="E1281" s="168" t="s">
        <v>2294</v>
      </c>
      <c r="F1281" s="168" t="s">
        <v>4623</v>
      </c>
      <c r="G1281" s="168" t="s">
        <v>4623</v>
      </c>
      <c r="H1281" s="292" t="s">
        <v>4623</v>
      </c>
      <c r="I1281" s="293" t="s">
        <v>4623</v>
      </c>
      <c r="J1281" s="293" t="s">
        <v>4623</v>
      </c>
      <c r="K1281" s="290" t="s">
        <v>4623</v>
      </c>
      <c r="L1281" s="290" t="s">
        <v>4623</v>
      </c>
      <c r="M1281" s="290" t="s">
        <v>6377</v>
      </c>
      <c r="N1281" s="290" t="s">
        <v>5000</v>
      </c>
      <c r="O1281" s="290" t="s">
        <v>5000</v>
      </c>
      <c r="P1281" s="290" t="s">
        <v>999</v>
      </c>
      <c r="Q1281" s="291" t="s">
        <v>4623</v>
      </c>
      <c r="R1281" s="276"/>
      <c r="S1281" s="277">
        <f>IF(OR(C1281="",C1281=T$4),NA(),MATCH($B1281&amp;$C1281,'Smelter Reference List'!$J:$J,0))</f>
        <v>442</v>
      </c>
      <c r="T1281" s="278"/>
      <c r="U1281" s="278"/>
      <c r="V1281" s="278"/>
      <c r="W1281" s="278"/>
    </row>
    <row r="1282" spans="1:23" s="269" customFormat="1" ht="20.25">
      <c r="A1282" s="267"/>
      <c r="B1282" s="275" t="s">
        <v>2437</v>
      </c>
      <c r="C1282" s="275" t="s">
        <v>3831</v>
      </c>
      <c r="D1282" s="168" t="s">
        <v>6698</v>
      </c>
      <c r="E1282" s="168" t="s">
        <v>2294</v>
      </c>
      <c r="F1282" s="168" t="s">
        <v>4623</v>
      </c>
      <c r="G1282" s="168" t="s">
        <v>4623</v>
      </c>
      <c r="H1282" s="292" t="s">
        <v>4623</v>
      </c>
      <c r="I1282" s="293" t="s">
        <v>4623</v>
      </c>
      <c r="J1282" s="293" t="s">
        <v>4623</v>
      </c>
      <c r="K1282" s="290" t="s">
        <v>4623</v>
      </c>
      <c r="L1282" s="290" t="s">
        <v>4623</v>
      </c>
      <c r="M1282" s="290" t="s">
        <v>4623</v>
      </c>
      <c r="N1282" s="290" t="s">
        <v>4623</v>
      </c>
      <c r="O1282" s="290" t="s">
        <v>4623</v>
      </c>
      <c r="P1282" s="290" t="s">
        <v>999</v>
      </c>
      <c r="Q1282" s="291" t="s">
        <v>4623</v>
      </c>
      <c r="R1282" s="276"/>
      <c r="S1282" s="277">
        <f>IF(OR(C1282="",C1282=T$4),NA(),MATCH($B1282&amp;$C1282,'Smelter Reference List'!$J:$J,0))</f>
        <v>442</v>
      </c>
      <c r="T1282" s="278"/>
      <c r="U1282" s="278"/>
      <c r="V1282" s="278"/>
      <c r="W1282" s="278"/>
    </row>
    <row r="1283" spans="1:23" s="269" customFormat="1" ht="20.25">
      <c r="A1283" s="267"/>
      <c r="B1283" s="275" t="s">
        <v>2437</v>
      </c>
      <c r="C1283" s="275" t="s">
        <v>3831</v>
      </c>
      <c r="D1283" s="168" t="s">
        <v>6699</v>
      </c>
      <c r="E1283" s="168" t="s">
        <v>2294</v>
      </c>
      <c r="F1283" s="168" t="s">
        <v>4623</v>
      </c>
      <c r="G1283" s="168" t="s">
        <v>4623</v>
      </c>
      <c r="H1283" s="292" t="s">
        <v>6700</v>
      </c>
      <c r="I1283" s="293" t="s">
        <v>3685</v>
      </c>
      <c r="J1283" s="293" t="s">
        <v>3364</v>
      </c>
      <c r="K1283" s="290" t="s">
        <v>6701</v>
      </c>
      <c r="L1283" s="290" t="s">
        <v>6702</v>
      </c>
      <c r="M1283" s="290" t="s">
        <v>4623</v>
      </c>
      <c r="N1283" s="290" t="s">
        <v>4623</v>
      </c>
      <c r="O1283" s="290" t="s">
        <v>4623</v>
      </c>
      <c r="P1283" s="290" t="s">
        <v>999</v>
      </c>
      <c r="Q1283" s="291" t="s">
        <v>4623</v>
      </c>
      <c r="R1283" s="276"/>
      <c r="S1283" s="277">
        <f>IF(OR(C1283="",C1283=T$4),NA(),MATCH($B1283&amp;$C1283,'Smelter Reference List'!$J:$J,0))</f>
        <v>442</v>
      </c>
      <c r="T1283" s="278"/>
      <c r="U1283" s="278"/>
      <c r="V1283" s="278"/>
      <c r="W1283" s="278"/>
    </row>
    <row r="1284" spans="1:23" s="269" customFormat="1" ht="20.25">
      <c r="A1284" s="267"/>
      <c r="B1284" s="275" t="s">
        <v>2437</v>
      </c>
      <c r="C1284" s="275" t="s">
        <v>3831</v>
      </c>
      <c r="D1284" s="168" t="s">
        <v>73</v>
      </c>
      <c r="E1284" s="168" t="s">
        <v>2294</v>
      </c>
      <c r="F1284" s="168" t="s">
        <v>4623</v>
      </c>
      <c r="G1284" s="168" t="s">
        <v>4623</v>
      </c>
      <c r="H1284" s="292" t="s">
        <v>6703</v>
      </c>
      <c r="I1284" s="293" t="s">
        <v>6704</v>
      </c>
      <c r="J1284" s="293" t="s">
        <v>5365</v>
      </c>
      <c r="K1284" s="290" t="s">
        <v>6701</v>
      </c>
      <c r="L1284" s="290" t="s">
        <v>6702</v>
      </c>
      <c r="M1284" s="290" t="s">
        <v>4769</v>
      </c>
      <c r="N1284" s="290" t="s">
        <v>6705</v>
      </c>
      <c r="O1284" s="290" t="s">
        <v>6706</v>
      </c>
      <c r="P1284" s="290" t="s">
        <v>999</v>
      </c>
      <c r="Q1284" s="291" t="s">
        <v>4623</v>
      </c>
      <c r="R1284" s="276"/>
      <c r="S1284" s="277">
        <f>IF(OR(C1284="",C1284=T$4),NA(),MATCH($B1284&amp;$C1284,'Smelter Reference List'!$J:$J,0))</f>
        <v>442</v>
      </c>
      <c r="T1284" s="278"/>
      <c r="U1284" s="278"/>
      <c r="V1284" s="278"/>
      <c r="W1284" s="278"/>
    </row>
    <row r="1285" spans="1:23" s="269" customFormat="1" ht="20.25">
      <c r="A1285" s="267"/>
      <c r="B1285" s="275" t="s">
        <v>2437</v>
      </c>
      <c r="C1285" s="275" t="s">
        <v>3831</v>
      </c>
      <c r="D1285" s="168" t="s">
        <v>6707</v>
      </c>
      <c r="E1285" s="168" t="s">
        <v>2294</v>
      </c>
      <c r="F1285" s="168" t="s">
        <v>4623</v>
      </c>
      <c r="G1285" s="168" t="s">
        <v>4623</v>
      </c>
      <c r="H1285" s="292" t="s">
        <v>4623</v>
      </c>
      <c r="I1285" s="293" t="s">
        <v>4623</v>
      </c>
      <c r="J1285" s="293" t="s">
        <v>4623</v>
      </c>
      <c r="K1285" s="290" t="s">
        <v>4623</v>
      </c>
      <c r="L1285" s="290" t="s">
        <v>4623</v>
      </c>
      <c r="M1285" s="290" t="s">
        <v>6377</v>
      </c>
      <c r="N1285" s="290" t="s">
        <v>5000</v>
      </c>
      <c r="O1285" s="290" t="s">
        <v>5000</v>
      </c>
      <c r="P1285" s="290" t="s">
        <v>999</v>
      </c>
      <c r="Q1285" s="291" t="s">
        <v>4623</v>
      </c>
      <c r="R1285" s="276"/>
      <c r="S1285" s="277">
        <f>IF(OR(C1285="",C1285=T$4),NA(),MATCH($B1285&amp;$C1285,'Smelter Reference List'!$J:$J,0))</f>
        <v>442</v>
      </c>
      <c r="T1285" s="278"/>
      <c r="U1285" s="278"/>
      <c r="V1285" s="278"/>
      <c r="W1285" s="278"/>
    </row>
    <row r="1286" spans="1:23" s="269" customFormat="1" ht="20.25">
      <c r="A1286" s="267"/>
      <c r="B1286" s="275" t="s">
        <v>2437</v>
      </c>
      <c r="C1286" s="275" t="s">
        <v>3831</v>
      </c>
      <c r="D1286" s="168" t="s">
        <v>6708</v>
      </c>
      <c r="E1286" s="168" t="s">
        <v>2294</v>
      </c>
      <c r="F1286" s="168" t="s">
        <v>4623</v>
      </c>
      <c r="G1286" s="168" t="s">
        <v>4623</v>
      </c>
      <c r="H1286" s="292" t="s">
        <v>4623</v>
      </c>
      <c r="I1286" s="293" t="s">
        <v>4623</v>
      </c>
      <c r="J1286" s="293" t="s">
        <v>4623</v>
      </c>
      <c r="K1286" s="290" t="s">
        <v>4623</v>
      </c>
      <c r="L1286" s="290" t="s">
        <v>4623</v>
      </c>
      <c r="M1286" s="290" t="s">
        <v>4623</v>
      </c>
      <c r="N1286" s="290" t="s">
        <v>4623</v>
      </c>
      <c r="O1286" s="290" t="s">
        <v>4623</v>
      </c>
      <c r="P1286" s="290" t="s">
        <v>999</v>
      </c>
      <c r="Q1286" s="291" t="s">
        <v>4623</v>
      </c>
      <c r="R1286" s="276"/>
      <c r="S1286" s="277">
        <f>IF(OR(C1286="",C1286=T$4),NA(),MATCH($B1286&amp;$C1286,'Smelter Reference List'!$J:$J,0))</f>
        <v>442</v>
      </c>
      <c r="T1286" s="278"/>
      <c r="U1286" s="278"/>
      <c r="V1286" s="278"/>
      <c r="W1286" s="278"/>
    </row>
    <row r="1287" spans="1:23" s="269" customFormat="1" ht="20.25">
      <c r="A1287" s="267"/>
      <c r="B1287" s="275" t="s">
        <v>2437</v>
      </c>
      <c r="C1287" s="275" t="s">
        <v>3831</v>
      </c>
      <c r="D1287" s="168" t="s">
        <v>6709</v>
      </c>
      <c r="E1287" s="168" t="s">
        <v>2294</v>
      </c>
      <c r="F1287" s="168" t="s">
        <v>4623</v>
      </c>
      <c r="G1287" s="168" t="s">
        <v>4623</v>
      </c>
      <c r="H1287" s="292" t="s">
        <v>4623</v>
      </c>
      <c r="I1287" s="293" t="s">
        <v>4623</v>
      </c>
      <c r="J1287" s="293" t="s">
        <v>4623</v>
      </c>
      <c r="K1287" s="290" t="s">
        <v>4623</v>
      </c>
      <c r="L1287" s="290" t="s">
        <v>4623</v>
      </c>
      <c r="M1287" s="290" t="s">
        <v>4623</v>
      </c>
      <c r="N1287" s="290" t="s">
        <v>4623</v>
      </c>
      <c r="O1287" s="290" t="s">
        <v>4623</v>
      </c>
      <c r="P1287" s="290" t="s">
        <v>999</v>
      </c>
      <c r="Q1287" s="291" t="s">
        <v>4623</v>
      </c>
      <c r="R1287" s="276"/>
      <c r="S1287" s="277">
        <f>IF(OR(C1287="",C1287=T$4),NA(),MATCH($B1287&amp;$C1287,'Smelter Reference List'!$J:$J,0))</f>
        <v>442</v>
      </c>
      <c r="T1287" s="278"/>
      <c r="U1287" s="278"/>
      <c r="V1287" s="278"/>
      <c r="W1287" s="278"/>
    </row>
    <row r="1288" spans="1:23" s="269" customFormat="1" ht="20.25">
      <c r="A1288" s="267"/>
      <c r="B1288" s="275" t="s">
        <v>2437</v>
      </c>
      <c r="C1288" s="275" t="s">
        <v>3831</v>
      </c>
      <c r="D1288" s="168" t="s">
        <v>6710</v>
      </c>
      <c r="E1288" s="168" t="s">
        <v>2294</v>
      </c>
      <c r="F1288" s="168" t="s">
        <v>4623</v>
      </c>
      <c r="G1288" s="168" t="s">
        <v>4623</v>
      </c>
      <c r="H1288" s="292" t="s">
        <v>4623</v>
      </c>
      <c r="I1288" s="293" t="s">
        <v>4623</v>
      </c>
      <c r="J1288" s="293" t="s">
        <v>4623</v>
      </c>
      <c r="K1288" s="290" t="s">
        <v>4623</v>
      </c>
      <c r="L1288" s="290" t="s">
        <v>4623</v>
      </c>
      <c r="M1288" s="290" t="s">
        <v>4623</v>
      </c>
      <c r="N1288" s="290" t="s">
        <v>4623</v>
      </c>
      <c r="O1288" s="290" t="s">
        <v>4623</v>
      </c>
      <c r="P1288" s="290" t="s">
        <v>999</v>
      </c>
      <c r="Q1288" s="291" t="s">
        <v>4623</v>
      </c>
      <c r="R1288" s="276"/>
      <c r="S1288" s="277">
        <f>IF(OR(C1288="",C1288=T$4),NA(),MATCH($B1288&amp;$C1288,'Smelter Reference List'!$J:$J,0))</f>
        <v>442</v>
      </c>
      <c r="T1288" s="278"/>
      <c r="U1288" s="278"/>
      <c r="V1288" s="278"/>
      <c r="W1288" s="278"/>
    </row>
    <row r="1289" spans="1:23" s="269" customFormat="1" ht="20.25">
      <c r="A1289" s="267"/>
      <c r="B1289" s="275" t="s">
        <v>2437</v>
      </c>
      <c r="C1289" s="275" t="s">
        <v>3831</v>
      </c>
      <c r="D1289" s="168" t="s">
        <v>6711</v>
      </c>
      <c r="E1289" s="168" t="s">
        <v>2294</v>
      </c>
      <c r="F1289" s="168" t="s">
        <v>4623</v>
      </c>
      <c r="G1289" s="168" t="s">
        <v>4623</v>
      </c>
      <c r="H1289" s="292" t="s">
        <v>4623</v>
      </c>
      <c r="I1289" s="293" t="s">
        <v>4623</v>
      </c>
      <c r="J1289" s="293" t="s">
        <v>4623</v>
      </c>
      <c r="K1289" s="290" t="s">
        <v>4623</v>
      </c>
      <c r="L1289" s="290" t="s">
        <v>4623</v>
      </c>
      <c r="M1289" s="290" t="s">
        <v>4623</v>
      </c>
      <c r="N1289" s="290" t="s">
        <v>4623</v>
      </c>
      <c r="O1289" s="290" t="s">
        <v>4623</v>
      </c>
      <c r="P1289" s="290" t="s">
        <v>999</v>
      </c>
      <c r="Q1289" s="291" t="s">
        <v>4623</v>
      </c>
      <c r="R1289" s="276"/>
      <c r="S1289" s="277">
        <f>IF(OR(C1289="",C1289=T$4),NA(),MATCH($B1289&amp;$C1289,'Smelter Reference List'!$J:$J,0))</f>
        <v>442</v>
      </c>
      <c r="T1289" s="278"/>
      <c r="U1289" s="278"/>
      <c r="V1289" s="278"/>
      <c r="W1289" s="278"/>
    </row>
    <row r="1290" spans="1:23" s="269" customFormat="1" ht="20.25">
      <c r="A1290" s="267"/>
      <c r="B1290" s="275" t="s">
        <v>2437</v>
      </c>
      <c r="C1290" s="275" t="s">
        <v>3831</v>
      </c>
      <c r="D1290" s="168" t="s">
        <v>6712</v>
      </c>
      <c r="E1290" s="168" t="s">
        <v>2294</v>
      </c>
      <c r="F1290" s="168" t="s">
        <v>4623</v>
      </c>
      <c r="G1290" s="168" t="s">
        <v>4623</v>
      </c>
      <c r="H1290" s="292" t="s">
        <v>4623</v>
      </c>
      <c r="I1290" s="293" t="s">
        <v>4623</v>
      </c>
      <c r="J1290" s="293" t="s">
        <v>4623</v>
      </c>
      <c r="K1290" s="290" t="s">
        <v>4623</v>
      </c>
      <c r="L1290" s="290" t="s">
        <v>4623</v>
      </c>
      <c r="M1290" s="290" t="s">
        <v>4623</v>
      </c>
      <c r="N1290" s="290" t="s">
        <v>4623</v>
      </c>
      <c r="O1290" s="290" t="s">
        <v>4623</v>
      </c>
      <c r="P1290" s="290" t="s">
        <v>999</v>
      </c>
      <c r="Q1290" s="291" t="s">
        <v>4623</v>
      </c>
      <c r="R1290" s="276"/>
      <c r="S1290" s="277">
        <f>IF(OR(C1290="",C1290=T$4),NA(),MATCH($B1290&amp;$C1290,'Smelter Reference List'!$J:$J,0))</f>
        <v>442</v>
      </c>
      <c r="T1290" s="278"/>
      <c r="U1290" s="278"/>
      <c r="V1290" s="278"/>
      <c r="W1290" s="278"/>
    </row>
    <row r="1291" spans="1:23" s="269" customFormat="1" ht="20.25">
      <c r="A1291" s="267"/>
      <c r="B1291" s="275" t="s">
        <v>2437</v>
      </c>
      <c r="C1291" s="275" t="s">
        <v>3831</v>
      </c>
      <c r="D1291" s="168" t="s">
        <v>6713</v>
      </c>
      <c r="E1291" s="168" t="s">
        <v>2294</v>
      </c>
      <c r="F1291" s="168" t="s">
        <v>4623</v>
      </c>
      <c r="G1291" s="168" t="s">
        <v>4623</v>
      </c>
      <c r="H1291" s="292" t="s">
        <v>4623</v>
      </c>
      <c r="I1291" s="293" t="s">
        <v>4623</v>
      </c>
      <c r="J1291" s="293" t="s">
        <v>4623</v>
      </c>
      <c r="K1291" s="290" t="s">
        <v>4623</v>
      </c>
      <c r="L1291" s="290" t="s">
        <v>4623</v>
      </c>
      <c r="M1291" s="290" t="s">
        <v>4623</v>
      </c>
      <c r="N1291" s="290" t="s">
        <v>4623</v>
      </c>
      <c r="O1291" s="290" t="s">
        <v>4623</v>
      </c>
      <c r="P1291" s="290" t="s">
        <v>999</v>
      </c>
      <c r="Q1291" s="291" t="s">
        <v>4623</v>
      </c>
      <c r="R1291" s="276"/>
      <c r="S1291" s="277">
        <f>IF(OR(C1291="",C1291=T$4),NA(),MATCH($B1291&amp;$C1291,'Smelter Reference List'!$J:$J,0))</f>
        <v>442</v>
      </c>
      <c r="T1291" s="278"/>
      <c r="U1291" s="278"/>
      <c r="V1291" s="278"/>
      <c r="W1291" s="278"/>
    </row>
    <row r="1292" spans="1:23" s="269" customFormat="1" ht="20.25">
      <c r="A1292" s="267"/>
      <c r="B1292" s="275" t="s">
        <v>2437</v>
      </c>
      <c r="C1292" s="275" t="s">
        <v>3831</v>
      </c>
      <c r="D1292" s="168" t="s">
        <v>6714</v>
      </c>
      <c r="E1292" s="168" t="s">
        <v>2294</v>
      </c>
      <c r="F1292" s="168" t="s">
        <v>4623</v>
      </c>
      <c r="G1292" s="168" t="s">
        <v>4623</v>
      </c>
      <c r="H1292" s="292" t="s">
        <v>4623</v>
      </c>
      <c r="I1292" s="293" t="s">
        <v>4623</v>
      </c>
      <c r="J1292" s="293" t="s">
        <v>4623</v>
      </c>
      <c r="K1292" s="290" t="s">
        <v>4623</v>
      </c>
      <c r="L1292" s="290" t="s">
        <v>4623</v>
      </c>
      <c r="M1292" s="290" t="s">
        <v>4623</v>
      </c>
      <c r="N1292" s="290" t="s">
        <v>4623</v>
      </c>
      <c r="O1292" s="290" t="s">
        <v>4623</v>
      </c>
      <c r="P1292" s="290" t="s">
        <v>999</v>
      </c>
      <c r="Q1292" s="291" t="s">
        <v>4623</v>
      </c>
      <c r="R1292" s="276"/>
      <c r="S1292" s="277">
        <f>IF(OR(C1292="",C1292=T$4),NA(),MATCH($B1292&amp;$C1292,'Smelter Reference List'!$J:$J,0))</f>
        <v>442</v>
      </c>
      <c r="T1292" s="278"/>
      <c r="U1292" s="278"/>
      <c r="V1292" s="278"/>
      <c r="W1292" s="278"/>
    </row>
    <row r="1293" spans="1:23" s="269" customFormat="1" ht="20.25">
      <c r="A1293" s="267"/>
      <c r="B1293" s="275" t="s">
        <v>2437</v>
      </c>
      <c r="C1293" s="275" t="s">
        <v>3831</v>
      </c>
      <c r="D1293" s="168" t="s">
        <v>6715</v>
      </c>
      <c r="E1293" s="168" t="s">
        <v>2294</v>
      </c>
      <c r="F1293" s="168" t="s">
        <v>4623</v>
      </c>
      <c r="G1293" s="168" t="s">
        <v>4623</v>
      </c>
      <c r="H1293" s="292" t="s">
        <v>4623</v>
      </c>
      <c r="I1293" s="293" t="s">
        <v>4623</v>
      </c>
      <c r="J1293" s="293" t="s">
        <v>4623</v>
      </c>
      <c r="K1293" s="290" t="s">
        <v>4623</v>
      </c>
      <c r="L1293" s="290" t="s">
        <v>4623</v>
      </c>
      <c r="M1293" s="290" t="s">
        <v>4623</v>
      </c>
      <c r="N1293" s="290" t="s">
        <v>4623</v>
      </c>
      <c r="O1293" s="290" t="s">
        <v>4623</v>
      </c>
      <c r="P1293" s="290" t="s">
        <v>999</v>
      </c>
      <c r="Q1293" s="291" t="s">
        <v>4623</v>
      </c>
      <c r="R1293" s="276"/>
      <c r="S1293" s="277">
        <f>IF(OR(C1293="",C1293=T$4),NA(),MATCH($B1293&amp;$C1293,'Smelter Reference List'!$J:$J,0))</f>
        <v>442</v>
      </c>
      <c r="T1293" s="278"/>
      <c r="U1293" s="278"/>
      <c r="V1293" s="278"/>
      <c r="W1293" s="278"/>
    </row>
    <row r="1294" spans="1:23" s="269" customFormat="1" ht="20.25">
      <c r="A1294" s="267"/>
      <c r="B1294" s="275" t="s">
        <v>2437</v>
      </c>
      <c r="C1294" s="275" t="s">
        <v>3831</v>
      </c>
      <c r="D1294" s="168" t="s">
        <v>6716</v>
      </c>
      <c r="E1294" s="168" t="s">
        <v>2294</v>
      </c>
      <c r="F1294" s="168" t="s">
        <v>4623</v>
      </c>
      <c r="G1294" s="168" t="s">
        <v>4623</v>
      </c>
      <c r="H1294" s="292" t="s">
        <v>4623</v>
      </c>
      <c r="I1294" s="293" t="s">
        <v>4623</v>
      </c>
      <c r="J1294" s="293" t="s">
        <v>4623</v>
      </c>
      <c r="K1294" s="290" t="s">
        <v>4623</v>
      </c>
      <c r="L1294" s="290" t="s">
        <v>4623</v>
      </c>
      <c r="M1294" s="290" t="s">
        <v>4623</v>
      </c>
      <c r="N1294" s="290" t="s">
        <v>4623</v>
      </c>
      <c r="O1294" s="290" t="s">
        <v>4623</v>
      </c>
      <c r="P1294" s="290" t="s">
        <v>999</v>
      </c>
      <c r="Q1294" s="291" t="s">
        <v>4623</v>
      </c>
      <c r="R1294" s="276"/>
      <c r="S1294" s="277">
        <f>IF(OR(C1294="",C1294=T$4),NA(),MATCH($B1294&amp;$C1294,'Smelter Reference List'!$J:$J,0))</f>
        <v>442</v>
      </c>
      <c r="T1294" s="278"/>
      <c r="U1294" s="278"/>
      <c r="V1294" s="278"/>
      <c r="W1294" s="278"/>
    </row>
    <row r="1295" spans="1:23" s="269" customFormat="1" ht="20.25">
      <c r="A1295" s="267"/>
      <c r="B1295" s="275" t="s">
        <v>2437</v>
      </c>
      <c r="C1295" s="275" t="s">
        <v>3831</v>
      </c>
      <c r="D1295" s="168" t="s">
        <v>6717</v>
      </c>
      <c r="E1295" s="168" t="s">
        <v>2294</v>
      </c>
      <c r="F1295" s="168" t="s">
        <v>4623</v>
      </c>
      <c r="G1295" s="168" t="s">
        <v>4623</v>
      </c>
      <c r="H1295" s="292" t="s">
        <v>4623</v>
      </c>
      <c r="I1295" s="293" t="s">
        <v>4623</v>
      </c>
      <c r="J1295" s="293" t="s">
        <v>4623</v>
      </c>
      <c r="K1295" s="290" t="s">
        <v>4623</v>
      </c>
      <c r="L1295" s="290" t="s">
        <v>4623</v>
      </c>
      <c r="M1295" s="290" t="s">
        <v>4623</v>
      </c>
      <c r="N1295" s="290" t="s">
        <v>4623</v>
      </c>
      <c r="O1295" s="290" t="s">
        <v>4623</v>
      </c>
      <c r="P1295" s="290" t="s">
        <v>999</v>
      </c>
      <c r="Q1295" s="291" t="s">
        <v>4623</v>
      </c>
      <c r="R1295" s="276"/>
      <c r="S1295" s="277">
        <f>IF(OR(C1295="",C1295=T$4),NA(),MATCH($B1295&amp;$C1295,'Smelter Reference List'!$J:$J,0))</f>
        <v>442</v>
      </c>
      <c r="T1295" s="278"/>
      <c r="U1295" s="278"/>
      <c r="V1295" s="278"/>
      <c r="W1295" s="278"/>
    </row>
    <row r="1296" spans="1:23" s="269" customFormat="1" ht="20.25">
      <c r="A1296" s="267"/>
      <c r="B1296" s="275" t="s">
        <v>2437</v>
      </c>
      <c r="C1296" s="275" t="s">
        <v>3831</v>
      </c>
      <c r="D1296" s="168" t="s">
        <v>6718</v>
      </c>
      <c r="E1296" s="168" t="s">
        <v>2294</v>
      </c>
      <c r="F1296" s="168" t="s">
        <v>4623</v>
      </c>
      <c r="G1296" s="168" t="s">
        <v>4623</v>
      </c>
      <c r="H1296" s="292" t="s">
        <v>4623</v>
      </c>
      <c r="I1296" s="293" t="s">
        <v>5334</v>
      </c>
      <c r="J1296" s="293" t="s">
        <v>3442</v>
      </c>
      <c r="K1296" s="290" t="s">
        <v>6719</v>
      </c>
      <c r="L1296" s="290" t="s">
        <v>5335</v>
      </c>
      <c r="M1296" s="290" t="s">
        <v>4623</v>
      </c>
      <c r="N1296" s="290" t="s">
        <v>4623</v>
      </c>
      <c r="O1296" s="290" t="s">
        <v>4623</v>
      </c>
      <c r="P1296" s="290" t="s">
        <v>999</v>
      </c>
      <c r="Q1296" s="291" t="s">
        <v>4623</v>
      </c>
      <c r="R1296" s="276"/>
      <c r="S1296" s="277">
        <f>IF(OR(C1296="",C1296=T$4),NA(),MATCH($B1296&amp;$C1296,'Smelter Reference List'!$J:$J,0))</f>
        <v>442</v>
      </c>
      <c r="T1296" s="278"/>
      <c r="U1296" s="278"/>
      <c r="V1296" s="278"/>
      <c r="W1296" s="278"/>
    </row>
    <row r="1297" spans="1:23" s="269" customFormat="1" ht="20.25">
      <c r="A1297" s="267"/>
      <c r="B1297" s="275" t="s">
        <v>2437</v>
      </c>
      <c r="C1297" s="275" t="s">
        <v>3831</v>
      </c>
      <c r="D1297" s="168" t="s">
        <v>6720</v>
      </c>
      <c r="E1297" s="168" t="s">
        <v>2294</v>
      </c>
      <c r="F1297" s="168" t="s">
        <v>4623</v>
      </c>
      <c r="G1297" s="168" t="s">
        <v>4623</v>
      </c>
      <c r="H1297" s="292" t="s">
        <v>4623</v>
      </c>
      <c r="I1297" s="293" t="s">
        <v>4623</v>
      </c>
      <c r="J1297" s="293" t="s">
        <v>4623</v>
      </c>
      <c r="K1297" s="290" t="s">
        <v>4623</v>
      </c>
      <c r="L1297" s="290" t="s">
        <v>4623</v>
      </c>
      <c r="M1297" s="290" t="s">
        <v>4623</v>
      </c>
      <c r="N1297" s="290" t="s">
        <v>4842</v>
      </c>
      <c r="O1297" s="290" t="s">
        <v>4623</v>
      </c>
      <c r="P1297" s="290" t="s">
        <v>999</v>
      </c>
      <c r="Q1297" s="291" t="s">
        <v>4623</v>
      </c>
      <c r="R1297" s="276"/>
      <c r="S1297" s="277">
        <f>IF(OR(C1297="",C1297=T$4),NA(),MATCH($B1297&amp;$C1297,'Smelter Reference List'!$J:$J,0))</f>
        <v>442</v>
      </c>
      <c r="T1297" s="278"/>
      <c r="U1297" s="278"/>
      <c r="V1297" s="278"/>
      <c r="W1297" s="278"/>
    </row>
    <row r="1298" spans="1:23" s="269" customFormat="1" ht="20.25">
      <c r="A1298" s="267"/>
      <c r="B1298" s="275" t="s">
        <v>2437</v>
      </c>
      <c r="C1298" s="275" t="s">
        <v>3831</v>
      </c>
      <c r="D1298" s="168" t="s">
        <v>6721</v>
      </c>
      <c r="E1298" s="168" t="s">
        <v>2294</v>
      </c>
      <c r="F1298" s="168" t="s">
        <v>4623</v>
      </c>
      <c r="G1298" s="168" t="s">
        <v>4623</v>
      </c>
      <c r="H1298" s="292" t="s">
        <v>6722</v>
      </c>
      <c r="I1298" s="293" t="s">
        <v>6723</v>
      </c>
      <c r="J1298" s="293" t="s">
        <v>6724</v>
      </c>
      <c r="K1298" s="290" t="s">
        <v>4623</v>
      </c>
      <c r="L1298" s="290" t="s">
        <v>4623</v>
      </c>
      <c r="M1298" s="290" t="s">
        <v>4623</v>
      </c>
      <c r="N1298" s="290" t="s">
        <v>4623</v>
      </c>
      <c r="O1298" s="290" t="s">
        <v>4623</v>
      </c>
      <c r="P1298" s="290" t="s">
        <v>999</v>
      </c>
      <c r="Q1298" s="291" t="s">
        <v>4623</v>
      </c>
      <c r="R1298" s="276"/>
      <c r="S1298" s="277">
        <f>IF(OR(C1298="",C1298=T$4),NA(),MATCH($B1298&amp;$C1298,'Smelter Reference List'!$J:$J,0))</f>
        <v>442</v>
      </c>
      <c r="T1298" s="278"/>
      <c r="U1298" s="278"/>
      <c r="V1298" s="278"/>
      <c r="W1298" s="278"/>
    </row>
    <row r="1299" spans="1:23" s="269" customFormat="1" ht="20.25">
      <c r="A1299" s="267"/>
      <c r="B1299" s="275" t="s">
        <v>2437</v>
      </c>
      <c r="C1299" s="275" t="s">
        <v>3831</v>
      </c>
      <c r="D1299" s="168" t="s">
        <v>6725</v>
      </c>
      <c r="E1299" s="168" t="s">
        <v>2294</v>
      </c>
      <c r="F1299" s="168" t="s">
        <v>4623</v>
      </c>
      <c r="G1299" s="168" t="s">
        <v>4623</v>
      </c>
      <c r="H1299" s="292" t="s">
        <v>4623</v>
      </c>
      <c r="I1299" s="293" t="s">
        <v>4623</v>
      </c>
      <c r="J1299" s="293" t="s">
        <v>4623</v>
      </c>
      <c r="K1299" s="290" t="s">
        <v>4623</v>
      </c>
      <c r="L1299" s="290" t="s">
        <v>4623</v>
      </c>
      <c r="M1299" s="290" t="s">
        <v>4623</v>
      </c>
      <c r="N1299" s="290" t="s">
        <v>4623</v>
      </c>
      <c r="O1299" s="290" t="s">
        <v>4623</v>
      </c>
      <c r="P1299" s="290" t="s">
        <v>999</v>
      </c>
      <c r="Q1299" s="291" t="s">
        <v>4623</v>
      </c>
      <c r="R1299" s="276"/>
      <c r="S1299" s="277">
        <f>IF(OR(C1299="",C1299=T$4),NA(),MATCH($B1299&amp;$C1299,'Smelter Reference List'!$J:$J,0))</f>
        <v>442</v>
      </c>
      <c r="T1299" s="278"/>
      <c r="U1299" s="278"/>
      <c r="V1299" s="278"/>
      <c r="W1299" s="278"/>
    </row>
    <row r="1300" spans="1:23" s="269" customFormat="1" ht="20.25">
      <c r="A1300" s="267"/>
      <c r="B1300" s="275" t="s">
        <v>2437</v>
      </c>
      <c r="C1300" s="275" t="s">
        <v>3831</v>
      </c>
      <c r="D1300" s="168" t="s">
        <v>6726</v>
      </c>
      <c r="E1300" s="168" t="s">
        <v>2294</v>
      </c>
      <c r="F1300" s="168" t="s">
        <v>4623</v>
      </c>
      <c r="G1300" s="168" t="s">
        <v>4623</v>
      </c>
      <c r="H1300" s="292" t="s">
        <v>4623</v>
      </c>
      <c r="I1300" s="293" t="s">
        <v>4623</v>
      </c>
      <c r="J1300" s="293" t="s">
        <v>4623</v>
      </c>
      <c r="K1300" s="290" t="s">
        <v>4623</v>
      </c>
      <c r="L1300" s="290" t="s">
        <v>4623</v>
      </c>
      <c r="M1300" s="290" t="s">
        <v>4623</v>
      </c>
      <c r="N1300" s="290" t="s">
        <v>4623</v>
      </c>
      <c r="O1300" s="290" t="s">
        <v>6727</v>
      </c>
      <c r="P1300" s="290" t="s">
        <v>999</v>
      </c>
      <c r="Q1300" s="291" t="s">
        <v>4623</v>
      </c>
      <c r="R1300" s="276"/>
      <c r="S1300" s="277">
        <f>IF(OR(C1300="",C1300=T$4),NA(),MATCH($B1300&amp;$C1300,'Smelter Reference List'!$J:$J,0))</f>
        <v>442</v>
      </c>
      <c r="T1300" s="278"/>
      <c r="U1300" s="278"/>
      <c r="V1300" s="278"/>
      <c r="W1300" s="278"/>
    </row>
    <row r="1301" spans="1:23" s="269" customFormat="1" ht="20.25">
      <c r="A1301" s="267"/>
      <c r="B1301" s="275" t="s">
        <v>2437</v>
      </c>
      <c r="C1301" s="275" t="s">
        <v>3831</v>
      </c>
      <c r="D1301" s="168" t="s">
        <v>6728</v>
      </c>
      <c r="E1301" s="168" t="s">
        <v>2294</v>
      </c>
      <c r="F1301" s="168" t="s">
        <v>4623</v>
      </c>
      <c r="G1301" s="168" t="s">
        <v>4623</v>
      </c>
      <c r="H1301" s="292" t="s">
        <v>4623</v>
      </c>
      <c r="I1301" s="293" t="s">
        <v>4623</v>
      </c>
      <c r="J1301" s="293" t="s">
        <v>4623</v>
      </c>
      <c r="K1301" s="290" t="s">
        <v>4623</v>
      </c>
      <c r="L1301" s="290" t="s">
        <v>4623</v>
      </c>
      <c r="M1301" s="290" t="s">
        <v>6377</v>
      </c>
      <c r="N1301" s="290" t="s">
        <v>5000</v>
      </c>
      <c r="O1301" s="290" t="s">
        <v>5000</v>
      </c>
      <c r="P1301" s="290" t="s">
        <v>999</v>
      </c>
      <c r="Q1301" s="291" t="s">
        <v>4623</v>
      </c>
      <c r="R1301" s="276"/>
      <c r="S1301" s="277">
        <f>IF(OR(C1301="",C1301=T$4),NA(),MATCH($B1301&amp;$C1301,'Smelter Reference List'!$J:$J,0))</f>
        <v>442</v>
      </c>
      <c r="T1301" s="278"/>
      <c r="U1301" s="278"/>
      <c r="V1301" s="278"/>
      <c r="W1301" s="278"/>
    </row>
    <row r="1302" spans="1:23" s="269" customFormat="1" ht="20.25">
      <c r="A1302" s="267"/>
      <c r="B1302" s="275" t="s">
        <v>2437</v>
      </c>
      <c r="C1302" s="275" t="s">
        <v>3831</v>
      </c>
      <c r="D1302" s="168" t="s">
        <v>6729</v>
      </c>
      <c r="E1302" s="168" t="s">
        <v>2294</v>
      </c>
      <c r="F1302" s="168" t="s">
        <v>4623</v>
      </c>
      <c r="G1302" s="168" t="s">
        <v>4623</v>
      </c>
      <c r="H1302" s="292" t="s">
        <v>4623</v>
      </c>
      <c r="I1302" s="293" t="s">
        <v>4623</v>
      </c>
      <c r="J1302" s="293" t="s">
        <v>4623</v>
      </c>
      <c r="K1302" s="290" t="s">
        <v>4623</v>
      </c>
      <c r="L1302" s="290" t="s">
        <v>4623</v>
      </c>
      <c r="M1302" s="290" t="s">
        <v>4623</v>
      </c>
      <c r="N1302" s="290" t="s">
        <v>4623</v>
      </c>
      <c r="O1302" s="290" t="s">
        <v>4623</v>
      </c>
      <c r="P1302" s="290" t="s">
        <v>999</v>
      </c>
      <c r="Q1302" s="291" t="s">
        <v>4623</v>
      </c>
      <c r="R1302" s="276"/>
      <c r="S1302" s="277">
        <f>IF(OR(C1302="",C1302=T$4),NA(),MATCH($B1302&amp;$C1302,'Smelter Reference List'!$J:$J,0))</f>
        <v>442</v>
      </c>
      <c r="T1302" s="278"/>
      <c r="U1302" s="278"/>
      <c r="V1302" s="278"/>
      <c r="W1302" s="278"/>
    </row>
    <row r="1303" spans="1:23" s="269" customFormat="1" ht="20.25">
      <c r="A1303" s="267"/>
      <c r="B1303" s="275" t="s">
        <v>2437</v>
      </c>
      <c r="C1303" s="275" t="s">
        <v>3831</v>
      </c>
      <c r="D1303" s="168" t="s">
        <v>6730</v>
      </c>
      <c r="E1303" s="168" t="s">
        <v>2294</v>
      </c>
      <c r="F1303" s="168" t="s">
        <v>4623</v>
      </c>
      <c r="G1303" s="168" t="s">
        <v>4623</v>
      </c>
      <c r="H1303" s="292" t="s">
        <v>4623</v>
      </c>
      <c r="I1303" s="293" t="s">
        <v>4623</v>
      </c>
      <c r="J1303" s="293" t="s">
        <v>4623</v>
      </c>
      <c r="K1303" s="290" t="s">
        <v>4623</v>
      </c>
      <c r="L1303" s="290" t="s">
        <v>4623</v>
      </c>
      <c r="M1303" s="290" t="s">
        <v>6377</v>
      </c>
      <c r="N1303" s="290" t="s">
        <v>5000</v>
      </c>
      <c r="O1303" s="290" t="s">
        <v>5000</v>
      </c>
      <c r="P1303" s="290" t="s">
        <v>999</v>
      </c>
      <c r="Q1303" s="291" t="s">
        <v>4623</v>
      </c>
      <c r="R1303" s="276"/>
      <c r="S1303" s="277">
        <f>IF(OR(C1303="",C1303=T$4),NA(),MATCH($B1303&amp;$C1303,'Smelter Reference List'!$J:$J,0))</f>
        <v>442</v>
      </c>
      <c r="T1303" s="278"/>
      <c r="U1303" s="278"/>
      <c r="V1303" s="278"/>
      <c r="W1303" s="278"/>
    </row>
    <row r="1304" spans="1:23" s="269" customFormat="1" ht="20.25">
      <c r="A1304" s="267"/>
      <c r="B1304" s="275" t="s">
        <v>2437</v>
      </c>
      <c r="C1304" s="275" t="s">
        <v>3831</v>
      </c>
      <c r="D1304" s="168" t="s">
        <v>6731</v>
      </c>
      <c r="E1304" s="168" t="s">
        <v>2294</v>
      </c>
      <c r="F1304" s="168" t="s">
        <v>4623</v>
      </c>
      <c r="G1304" s="168" t="s">
        <v>4623</v>
      </c>
      <c r="H1304" s="292" t="s">
        <v>4623</v>
      </c>
      <c r="I1304" s="293" t="s">
        <v>4623</v>
      </c>
      <c r="J1304" s="293" t="s">
        <v>4623</v>
      </c>
      <c r="K1304" s="290" t="s">
        <v>4623</v>
      </c>
      <c r="L1304" s="290" t="s">
        <v>4623</v>
      </c>
      <c r="M1304" s="290" t="s">
        <v>4623</v>
      </c>
      <c r="N1304" s="290" t="s">
        <v>4623</v>
      </c>
      <c r="O1304" s="290" t="s">
        <v>4623</v>
      </c>
      <c r="P1304" s="290" t="s">
        <v>999</v>
      </c>
      <c r="Q1304" s="291" t="s">
        <v>4623</v>
      </c>
      <c r="R1304" s="276"/>
      <c r="S1304" s="277">
        <f>IF(OR(C1304="",C1304=T$4),NA(),MATCH($B1304&amp;$C1304,'Smelter Reference List'!$J:$J,0))</f>
        <v>442</v>
      </c>
      <c r="T1304" s="278"/>
      <c r="U1304" s="278"/>
      <c r="V1304" s="278"/>
      <c r="W1304" s="278"/>
    </row>
    <row r="1305" spans="1:23" s="269" customFormat="1" ht="20.25">
      <c r="A1305" s="267"/>
      <c r="B1305" s="275" t="s">
        <v>2437</v>
      </c>
      <c r="C1305" s="275" t="s">
        <v>3831</v>
      </c>
      <c r="D1305" s="168" t="s">
        <v>6732</v>
      </c>
      <c r="E1305" s="168" t="s">
        <v>2294</v>
      </c>
      <c r="F1305" s="168" t="s">
        <v>4623</v>
      </c>
      <c r="G1305" s="168" t="s">
        <v>4623</v>
      </c>
      <c r="H1305" s="292" t="s">
        <v>6733</v>
      </c>
      <c r="I1305" s="293" t="s">
        <v>6734</v>
      </c>
      <c r="J1305" s="293" t="s">
        <v>6735</v>
      </c>
      <c r="K1305" s="290" t="s">
        <v>4623</v>
      </c>
      <c r="L1305" s="290" t="s">
        <v>6736</v>
      </c>
      <c r="M1305" s="290" t="s">
        <v>4804</v>
      </c>
      <c r="N1305" s="290" t="s">
        <v>4623</v>
      </c>
      <c r="O1305" s="290" t="s">
        <v>4623</v>
      </c>
      <c r="P1305" s="290" t="s">
        <v>999</v>
      </c>
      <c r="Q1305" s="291" t="s">
        <v>4623</v>
      </c>
      <c r="R1305" s="276"/>
      <c r="S1305" s="277">
        <f>IF(OR(C1305="",C1305=T$4),NA(),MATCH($B1305&amp;$C1305,'Smelter Reference List'!$J:$J,0))</f>
        <v>442</v>
      </c>
      <c r="T1305" s="278"/>
      <c r="U1305" s="278"/>
      <c r="V1305" s="278"/>
      <c r="W1305" s="278"/>
    </row>
    <row r="1306" spans="1:23" s="269" customFormat="1" ht="20.25">
      <c r="A1306" s="267"/>
      <c r="B1306" s="275" t="s">
        <v>2437</v>
      </c>
      <c r="C1306" s="275" t="s">
        <v>3831</v>
      </c>
      <c r="D1306" s="168" t="s">
        <v>5652</v>
      </c>
      <c r="E1306" s="168" t="s">
        <v>2294</v>
      </c>
      <c r="F1306" s="168" t="s">
        <v>4623</v>
      </c>
      <c r="G1306" s="168" t="s">
        <v>4623</v>
      </c>
      <c r="H1306" s="292" t="s">
        <v>4623</v>
      </c>
      <c r="I1306" s="293" t="s">
        <v>4623</v>
      </c>
      <c r="J1306" s="293" t="s">
        <v>4623</v>
      </c>
      <c r="K1306" s="290" t="s">
        <v>4623</v>
      </c>
      <c r="L1306" s="290" t="s">
        <v>4623</v>
      </c>
      <c r="M1306" s="290" t="s">
        <v>4623</v>
      </c>
      <c r="N1306" s="290" t="s">
        <v>4623</v>
      </c>
      <c r="O1306" s="290" t="s">
        <v>4623</v>
      </c>
      <c r="P1306" s="290" t="s">
        <v>999</v>
      </c>
      <c r="Q1306" s="291" t="s">
        <v>4623</v>
      </c>
      <c r="R1306" s="276"/>
      <c r="S1306" s="277">
        <f>IF(OR(C1306="",C1306=T$4),NA(),MATCH($B1306&amp;$C1306,'Smelter Reference List'!$J:$J,0))</f>
        <v>442</v>
      </c>
      <c r="T1306" s="278"/>
      <c r="U1306" s="278"/>
      <c r="V1306" s="278"/>
      <c r="W1306" s="278"/>
    </row>
    <row r="1307" spans="1:23" s="269" customFormat="1" ht="20.25">
      <c r="A1307" s="267"/>
      <c r="B1307" s="275" t="s">
        <v>2437</v>
      </c>
      <c r="C1307" s="275" t="s">
        <v>3831</v>
      </c>
      <c r="D1307" s="168" t="s">
        <v>6737</v>
      </c>
      <c r="E1307" s="168" t="s">
        <v>2294</v>
      </c>
      <c r="F1307" s="168" t="s">
        <v>4623</v>
      </c>
      <c r="G1307" s="168" t="s">
        <v>4623</v>
      </c>
      <c r="H1307" s="292" t="s">
        <v>4623</v>
      </c>
      <c r="I1307" s="293" t="s">
        <v>4623</v>
      </c>
      <c r="J1307" s="293" t="s">
        <v>4623</v>
      </c>
      <c r="K1307" s="290" t="s">
        <v>4623</v>
      </c>
      <c r="L1307" s="290" t="s">
        <v>4623</v>
      </c>
      <c r="M1307" s="290" t="s">
        <v>4623</v>
      </c>
      <c r="N1307" s="290" t="s">
        <v>4623</v>
      </c>
      <c r="O1307" s="290" t="s">
        <v>4623</v>
      </c>
      <c r="P1307" s="290" t="s">
        <v>999</v>
      </c>
      <c r="Q1307" s="291" t="s">
        <v>4623</v>
      </c>
      <c r="R1307" s="276"/>
      <c r="S1307" s="277">
        <f>IF(OR(C1307="",C1307=T$4),NA(),MATCH($B1307&amp;$C1307,'Smelter Reference List'!$J:$J,0))</f>
        <v>442</v>
      </c>
      <c r="T1307" s="278"/>
      <c r="U1307" s="278"/>
      <c r="V1307" s="278"/>
      <c r="W1307" s="278"/>
    </row>
    <row r="1308" spans="1:23" s="269" customFormat="1" ht="20.25">
      <c r="A1308" s="267"/>
      <c r="B1308" s="275" t="s">
        <v>2437</v>
      </c>
      <c r="C1308" s="275" t="s">
        <v>3831</v>
      </c>
      <c r="D1308" s="168" t="s">
        <v>6738</v>
      </c>
      <c r="E1308" s="168" t="s">
        <v>2294</v>
      </c>
      <c r="F1308" s="168" t="s">
        <v>4623</v>
      </c>
      <c r="G1308" s="168" t="s">
        <v>4623</v>
      </c>
      <c r="H1308" s="292" t="s">
        <v>4623</v>
      </c>
      <c r="I1308" s="293" t="s">
        <v>4623</v>
      </c>
      <c r="J1308" s="293" t="s">
        <v>4623</v>
      </c>
      <c r="K1308" s="290" t="s">
        <v>4623</v>
      </c>
      <c r="L1308" s="290" t="s">
        <v>4623</v>
      </c>
      <c r="M1308" s="290" t="s">
        <v>6377</v>
      </c>
      <c r="N1308" s="290" t="s">
        <v>5000</v>
      </c>
      <c r="O1308" s="290" t="s">
        <v>5000</v>
      </c>
      <c r="P1308" s="290" t="s">
        <v>999</v>
      </c>
      <c r="Q1308" s="291" t="s">
        <v>4623</v>
      </c>
      <c r="R1308" s="276"/>
      <c r="S1308" s="277">
        <f>IF(OR(C1308="",C1308=T$4),NA(),MATCH($B1308&amp;$C1308,'Smelter Reference List'!$J:$J,0))</f>
        <v>442</v>
      </c>
      <c r="T1308" s="278"/>
      <c r="U1308" s="278"/>
      <c r="V1308" s="278"/>
      <c r="W1308" s="278"/>
    </row>
    <row r="1309" spans="1:23" s="269" customFormat="1" ht="20.25">
      <c r="A1309" s="267"/>
      <c r="B1309" s="275" t="s">
        <v>2437</v>
      </c>
      <c r="C1309" s="275" t="s">
        <v>3831</v>
      </c>
      <c r="D1309" s="168" t="s">
        <v>6739</v>
      </c>
      <c r="E1309" s="168" t="s">
        <v>2294</v>
      </c>
      <c r="F1309" s="168" t="s">
        <v>4623</v>
      </c>
      <c r="G1309" s="168" t="s">
        <v>4623</v>
      </c>
      <c r="H1309" s="292" t="s">
        <v>4623</v>
      </c>
      <c r="I1309" s="293" t="s">
        <v>4623</v>
      </c>
      <c r="J1309" s="293" t="s">
        <v>4623</v>
      </c>
      <c r="K1309" s="290" t="s">
        <v>4623</v>
      </c>
      <c r="L1309" s="290" t="s">
        <v>4623</v>
      </c>
      <c r="M1309" s="290" t="s">
        <v>4623</v>
      </c>
      <c r="N1309" s="290" t="s">
        <v>4623</v>
      </c>
      <c r="O1309" s="290" t="s">
        <v>4623</v>
      </c>
      <c r="P1309" s="290" t="s">
        <v>999</v>
      </c>
      <c r="Q1309" s="291" t="s">
        <v>4623</v>
      </c>
      <c r="R1309" s="276"/>
      <c r="S1309" s="277">
        <f>IF(OR(C1309="",C1309=T$4),NA(),MATCH($B1309&amp;$C1309,'Smelter Reference List'!$J:$J,0))</f>
        <v>442</v>
      </c>
      <c r="T1309" s="278"/>
      <c r="U1309" s="278"/>
      <c r="V1309" s="278"/>
      <c r="W1309" s="278"/>
    </row>
    <row r="1310" spans="1:23" s="269" customFormat="1" ht="20.25">
      <c r="A1310" s="267"/>
      <c r="B1310" s="275" t="s">
        <v>2437</v>
      </c>
      <c r="C1310" s="275" t="s">
        <v>3831</v>
      </c>
      <c r="D1310" s="168" t="s">
        <v>6740</v>
      </c>
      <c r="E1310" s="168" t="s">
        <v>2294</v>
      </c>
      <c r="F1310" s="168" t="s">
        <v>4623</v>
      </c>
      <c r="G1310" s="168" t="s">
        <v>4623</v>
      </c>
      <c r="H1310" s="292" t="s">
        <v>6722</v>
      </c>
      <c r="I1310" s="293" t="s">
        <v>6723</v>
      </c>
      <c r="J1310" s="293" t="s">
        <v>6724</v>
      </c>
      <c r="K1310" s="290" t="s">
        <v>4623</v>
      </c>
      <c r="L1310" s="290" t="s">
        <v>4623</v>
      </c>
      <c r="M1310" s="290" t="s">
        <v>4623</v>
      </c>
      <c r="N1310" s="290" t="s">
        <v>4623</v>
      </c>
      <c r="O1310" s="290" t="s">
        <v>6741</v>
      </c>
      <c r="P1310" s="290" t="s">
        <v>999</v>
      </c>
      <c r="Q1310" s="291" t="s">
        <v>4623</v>
      </c>
      <c r="R1310" s="276"/>
      <c r="S1310" s="277">
        <f>IF(OR(C1310="",C1310=T$4),NA(),MATCH($B1310&amp;$C1310,'Smelter Reference List'!$J:$J,0))</f>
        <v>442</v>
      </c>
      <c r="T1310" s="278"/>
      <c r="U1310" s="278"/>
      <c r="V1310" s="278"/>
      <c r="W1310" s="278"/>
    </row>
    <row r="1311" spans="1:23" s="269" customFormat="1" ht="20.25">
      <c r="A1311" s="267"/>
      <c r="B1311" s="275" t="s">
        <v>2437</v>
      </c>
      <c r="C1311" s="275" t="s">
        <v>3831</v>
      </c>
      <c r="D1311" s="168" t="s">
        <v>6742</v>
      </c>
      <c r="E1311" s="168" t="s">
        <v>2294</v>
      </c>
      <c r="F1311" s="168" t="s">
        <v>4623</v>
      </c>
      <c r="G1311" s="168" t="s">
        <v>4623</v>
      </c>
      <c r="H1311" s="292" t="s">
        <v>4623</v>
      </c>
      <c r="I1311" s="293" t="s">
        <v>4623</v>
      </c>
      <c r="J1311" s="293" t="s">
        <v>4623</v>
      </c>
      <c r="K1311" s="290" t="s">
        <v>4623</v>
      </c>
      <c r="L1311" s="290" t="s">
        <v>4623</v>
      </c>
      <c r="M1311" s="290" t="s">
        <v>6377</v>
      </c>
      <c r="N1311" s="290" t="s">
        <v>5000</v>
      </c>
      <c r="O1311" s="290" t="s">
        <v>5000</v>
      </c>
      <c r="P1311" s="290" t="s">
        <v>999</v>
      </c>
      <c r="Q1311" s="291" t="s">
        <v>4623</v>
      </c>
      <c r="R1311" s="276"/>
      <c r="S1311" s="277">
        <f>IF(OR(C1311="",C1311=T$4),NA(),MATCH($B1311&amp;$C1311,'Smelter Reference List'!$J:$J,0))</f>
        <v>442</v>
      </c>
      <c r="T1311" s="278"/>
      <c r="U1311" s="278"/>
      <c r="V1311" s="278"/>
      <c r="W1311" s="278"/>
    </row>
    <row r="1312" spans="1:23" s="269" customFormat="1" ht="20.25">
      <c r="A1312" s="267"/>
      <c r="B1312" s="275" t="s">
        <v>2437</v>
      </c>
      <c r="C1312" s="275" t="s">
        <v>3831</v>
      </c>
      <c r="D1312" s="168" t="s">
        <v>6743</v>
      </c>
      <c r="E1312" s="168" t="s">
        <v>2294</v>
      </c>
      <c r="F1312" s="168" t="s">
        <v>4623</v>
      </c>
      <c r="G1312" s="168" t="s">
        <v>4623</v>
      </c>
      <c r="H1312" s="292" t="s">
        <v>4623</v>
      </c>
      <c r="I1312" s="293" t="s">
        <v>4623</v>
      </c>
      <c r="J1312" s="293" t="s">
        <v>4623</v>
      </c>
      <c r="K1312" s="290" t="s">
        <v>4623</v>
      </c>
      <c r="L1312" s="290" t="s">
        <v>4623</v>
      </c>
      <c r="M1312" s="290" t="s">
        <v>4623</v>
      </c>
      <c r="N1312" s="290" t="s">
        <v>4623</v>
      </c>
      <c r="O1312" s="290" t="s">
        <v>4623</v>
      </c>
      <c r="P1312" s="290" t="s">
        <v>999</v>
      </c>
      <c r="Q1312" s="291" t="s">
        <v>4623</v>
      </c>
      <c r="R1312" s="276"/>
      <c r="S1312" s="277">
        <f>IF(OR(C1312="",C1312=T$4),NA(),MATCH($B1312&amp;$C1312,'Smelter Reference List'!$J:$J,0))</f>
        <v>442</v>
      </c>
      <c r="T1312" s="278"/>
      <c r="U1312" s="278"/>
      <c r="V1312" s="278"/>
      <c r="W1312" s="278"/>
    </row>
    <row r="1313" spans="1:23" s="269" customFormat="1" ht="20.25">
      <c r="A1313" s="267"/>
      <c r="B1313" s="275" t="s">
        <v>2437</v>
      </c>
      <c r="C1313" s="275" t="s">
        <v>3831</v>
      </c>
      <c r="D1313" s="168" t="s">
        <v>6744</v>
      </c>
      <c r="E1313" s="168" t="s">
        <v>2294</v>
      </c>
      <c r="F1313" s="168" t="s">
        <v>4623</v>
      </c>
      <c r="G1313" s="168" t="s">
        <v>4623</v>
      </c>
      <c r="H1313" s="292" t="s">
        <v>4623</v>
      </c>
      <c r="I1313" s="293" t="s">
        <v>4623</v>
      </c>
      <c r="J1313" s="293" t="s">
        <v>4623</v>
      </c>
      <c r="K1313" s="290" t="s">
        <v>4623</v>
      </c>
      <c r="L1313" s="290" t="s">
        <v>4623</v>
      </c>
      <c r="M1313" s="290" t="s">
        <v>4623</v>
      </c>
      <c r="N1313" s="290" t="s">
        <v>4623</v>
      </c>
      <c r="O1313" s="290" t="s">
        <v>4623</v>
      </c>
      <c r="P1313" s="290" t="s">
        <v>999</v>
      </c>
      <c r="Q1313" s="291" t="s">
        <v>4623</v>
      </c>
      <c r="R1313" s="276"/>
      <c r="S1313" s="277">
        <f>IF(OR(C1313="",C1313=T$4),NA(),MATCH($B1313&amp;$C1313,'Smelter Reference List'!$J:$J,0))</f>
        <v>442</v>
      </c>
      <c r="T1313" s="278"/>
      <c r="U1313" s="278"/>
      <c r="V1313" s="278"/>
      <c r="W1313" s="278"/>
    </row>
    <row r="1314" spans="1:23" s="269" customFormat="1" ht="20.25">
      <c r="A1314" s="267"/>
      <c r="B1314" s="275" t="s">
        <v>2437</v>
      </c>
      <c r="C1314" s="275" t="s">
        <v>3831</v>
      </c>
      <c r="D1314" s="168" t="s">
        <v>6745</v>
      </c>
      <c r="E1314" s="168" t="s">
        <v>2294</v>
      </c>
      <c r="F1314" s="168" t="s">
        <v>4623</v>
      </c>
      <c r="G1314" s="168" t="s">
        <v>4623</v>
      </c>
      <c r="H1314" s="292" t="s">
        <v>4623</v>
      </c>
      <c r="I1314" s="293" t="s">
        <v>4623</v>
      </c>
      <c r="J1314" s="293" t="s">
        <v>4623</v>
      </c>
      <c r="K1314" s="290" t="s">
        <v>4623</v>
      </c>
      <c r="L1314" s="290" t="s">
        <v>4623</v>
      </c>
      <c r="M1314" s="290" t="s">
        <v>4623</v>
      </c>
      <c r="N1314" s="290" t="s">
        <v>4623</v>
      </c>
      <c r="O1314" s="290" t="s">
        <v>4623</v>
      </c>
      <c r="P1314" s="290" t="s">
        <v>999</v>
      </c>
      <c r="Q1314" s="291" t="s">
        <v>4623</v>
      </c>
      <c r="R1314" s="276"/>
      <c r="S1314" s="277">
        <f>IF(OR(C1314="",C1314=T$4),NA(),MATCH($B1314&amp;$C1314,'Smelter Reference List'!$J:$J,0))</f>
        <v>442</v>
      </c>
      <c r="T1314" s="278"/>
      <c r="U1314" s="278"/>
      <c r="V1314" s="278"/>
      <c r="W1314" s="278"/>
    </row>
    <row r="1315" spans="1:23" s="269" customFormat="1" ht="20.25">
      <c r="A1315" s="267"/>
      <c r="B1315" s="275" t="s">
        <v>2437</v>
      </c>
      <c r="C1315" s="275" t="s">
        <v>3831</v>
      </c>
      <c r="D1315" s="168" t="s">
        <v>6746</v>
      </c>
      <c r="E1315" s="168" t="s">
        <v>2294</v>
      </c>
      <c r="F1315" s="168" t="s">
        <v>4623</v>
      </c>
      <c r="G1315" s="168" t="s">
        <v>4623</v>
      </c>
      <c r="H1315" s="292" t="s">
        <v>4623</v>
      </c>
      <c r="I1315" s="293" t="s">
        <v>4623</v>
      </c>
      <c r="J1315" s="293" t="s">
        <v>4623</v>
      </c>
      <c r="K1315" s="290" t="s">
        <v>4623</v>
      </c>
      <c r="L1315" s="290" t="s">
        <v>4623</v>
      </c>
      <c r="M1315" s="290" t="s">
        <v>4623</v>
      </c>
      <c r="N1315" s="290" t="s">
        <v>4623</v>
      </c>
      <c r="O1315" s="290" t="s">
        <v>4623</v>
      </c>
      <c r="P1315" s="290" t="s">
        <v>999</v>
      </c>
      <c r="Q1315" s="291" t="s">
        <v>4623</v>
      </c>
      <c r="R1315" s="276"/>
      <c r="S1315" s="277">
        <f>IF(OR(C1315="",C1315=T$4),NA(),MATCH($B1315&amp;$C1315,'Smelter Reference List'!$J:$J,0))</f>
        <v>442</v>
      </c>
      <c r="T1315" s="278"/>
      <c r="U1315" s="278"/>
      <c r="V1315" s="278"/>
      <c r="W1315" s="278"/>
    </row>
    <row r="1316" spans="1:23" s="269" customFormat="1" ht="20.25">
      <c r="A1316" s="267"/>
      <c r="B1316" s="275" t="s">
        <v>2437</v>
      </c>
      <c r="C1316" s="275" t="s">
        <v>3831</v>
      </c>
      <c r="D1316" s="168" t="s">
        <v>6747</v>
      </c>
      <c r="E1316" s="168" t="s">
        <v>2294</v>
      </c>
      <c r="F1316" s="168" t="s">
        <v>4623</v>
      </c>
      <c r="G1316" s="168" t="s">
        <v>4623</v>
      </c>
      <c r="H1316" s="292" t="s">
        <v>4623</v>
      </c>
      <c r="I1316" s="293" t="s">
        <v>4623</v>
      </c>
      <c r="J1316" s="293" t="s">
        <v>4623</v>
      </c>
      <c r="K1316" s="290" t="s">
        <v>4623</v>
      </c>
      <c r="L1316" s="290" t="s">
        <v>4623</v>
      </c>
      <c r="M1316" s="290" t="s">
        <v>4623</v>
      </c>
      <c r="N1316" s="290" t="s">
        <v>4623</v>
      </c>
      <c r="O1316" s="290" t="s">
        <v>4623</v>
      </c>
      <c r="P1316" s="290" t="s">
        <v>999</v>
      </c>
      <c r="Q1316" s="291" t="s">
        <v>4623</v>
      </c>
      <c r="R1316" s="276"/>
      <c r="S1316" s="277">
        <f>IF(OR(C1316="",C1316=T$4),NA(),MATCH($B1316&amp;$C1316,'Smelter Reference List'!$J:$J,0))</f>
        <v>442</v>
      </c>
      <c r="T1316" s="278"/>
      <c r="U1316" s="278"/>
      <c r="V1316" s="278"/>
      <c r="W1316" s="278"/>
    </row>
    <row r="1317" spans="1:23" s="269" customFormat="1" ht="20.25">
      <c r="A1317" s="267"/>
      <c r="B1317" s="275" t="s">
        <v>2437</v>
      </c>
      <c r="C1317" s="275" t="s">
        <v>3831</v>
      </c>
      <c r="D1317" s="168" t="s">
        <v>6748</v>
      </c>
      <c r="E1317" s="168" t="s">
        <v>2294</v>
      </c>
      <c r="F1317" s="168" t="s">
        <v>4623</v>
      </c>
      <c r="G1317" s="168" t="s">
        <v>4623</v>
      </c>
      <c r="H1317" s="292" t="s">
        <v>4623</v>
      </c>
      <c r="I1317" s="293" t="s">
        <v>4623</v>
      </c>
      <c r="J1317" s="293" t="s">
        <v>4623</v>
      </c>
      <c r="K1317" s="290" t="s">
        <v>4623</v>
      </c>
      <c r="L1317" s="290" t="s">
        <v>4623</v>
      </c>
      <c r="M1317" s="290" t="s">
        <v>4623</v>
      </c>
      <c r="N1317" s="290" t="s">
        <v>4623</v>
      </c>
      <c r="O1317" s="290" t="s">
        <v>4623</v>
      </c>
      <c r="P1317" s="290" t="s">
        <v>999</v>
      </c>
      <c r="Q1317" s="291" t="s">
        <v>4623</v>
      </c>
      <c r="R1317" s="276"/>
      <c r="S1317" s="277">
        <f>IF(OR(C1317="",C1317=T$4),NA(),MATCH($B1317&amp;$C1317,'Smelter Reference List'!$J:$J,0))</f>
        <v>442</v>
      </c>
      <c r="T1317" s="278"/>
      <c r="U1317" s="278"/>
      <c r="V1317" s="278"/>
      <c r="W1317" s="278"/>
    </row>
    <row r="1318" spans="1:23" s="269" customFormat="1" ht="20.25">
      <c r="A1318" s="267"/>
      <c r="B1318" s="275" t="s">
        <v>2437</v>
      </c>
      <c r="C1318" s="275" t="s">
        <v>3831</v>
      </c>
      <c r="D1318" s="168" t="s">
        <v>6749</v>
      </c>
      <c r="E1318" s="168" t="s">
        <v>2294</v>
      </c>
      <c r="F1318" s="168" t="s">
        <v>4623</v>
      </c>
      <c r="G1318" s="168" t="s">
        <v>4623</v>
      </c>
      <c r="H1318" s="292" t="s">
        <v>4623</v>
      </c>
      <c r="I1318" s="293" t="s">
        <v>4623</v>
      </c>
      <c r="J1318" s="293" t="s">
        <v>4623</v>
      </c>
      <c r="K1318" s="290" t="s">
        <v>4623</v>
      </c>
      <c r="L1318" s="290" t="s">
        <v>4623</v>
      </c>
      <c r="M1318" s="290" t="s">
        <v>4623</v>
      </c>
      <c r="N1318" s="290" t="s">
        <v>4623</v>
      </c>
      <c r="O1318" s="290" t="s">
        <v>4623</v>
      </c>
      <c r="P1318" s="290" t="s">
        <v>999</v>
      </c>
      <c r="Q1318" s="291" t="s">
        <v>4623</v>
      </c>
      <c r="R1318" s="276"/>
      <c r="S1318" s="277">
        <f>IF(OR(C1318="",C1318=T$4),NA(),MATCH($B1318&amp;$C1318,'Smelter Reference List'!$J:$J,0))</f>
        <v>442</v>
      </c>
      <c r="T1318" s="278"/>
      <c r="U1318" s="278"/>
      <c r="V1318" s="278"/>
      <c r="W1318" s="278"/>
    </row>
    <row r="1319" spans="1:23" s="269" customFormat="1" ht="20.25">
      <c r="A1319" s="267"/>
      <c r="B1319" s="275" t="s">
        <v>2437</v>
      </c>
      <c r="C1319" s="275" t="s">
        <v>3831</v>
      </c>
      <c r="D1319" s="168" t="s">
        <v>6750</v>
      </c>
      <c r="E1319" s="168" t="s">
        <v>2294</v>
      </c>
      <c r="F1319" s="168" t="s">
        <v>4623</v>
      </c>
      <c r="G1319" s="168" t="s">
        <v>4623</v>
      </c>
      <c r="H1319" s="292" t="s">
        <v>4623</v>
      </c>
      <c r="I1319" s="293" t="s">
        <v>4623</v>
      </c>
      <c r="J1319" s="293" t="s">
        <v>4623</v>
      </c>
      <c r="K1319" s="290" t="s">
        <v>4623</v>
      </c>
      <c r="L1319" s="290" t="s">
        <v>4623</v>
      </c>
      <c r="M1319" s="290" t="s">
        <v>4623</v>
      </c>
      <c r="N1319" s="290" t="s">
        <v>4623</v>
      </c>
      <c r="O1319" s="290" t="s">
        <v>4623</v>
      </c>
      <c r="P1319" s="290" t="s">
        <v>999</v>
      </c>
      <c r="Q1319" s="291" t="s">
        <v>4623</v>
      </c>
      <c r="R1319" s="276"/>
      <c r="S1319" s="277">
        <f>IF(OR(C1319="",C1319=T$4),NA(),MATCH($B1319&amp;$C1319,'Smelter Reference List'!$J:$J,0))</f>
        <v>442</v>
      </c>
      <c r="T1319" s="278"/>
      <c r="U1319" s="278"/>
      <c r="V1319" s="278"/>
      <c r="W1319" s="278"/>
    </row>
    <row r="1320" spans="1:23" s="269" customFormat="1" ht="20.25">
      <c r="A1320" s="267"/>
      <c r="B1320" s="275" t="s">
        <v>2437</v>
      </c>
      <c r="C1320" s="275" t="s">
        <v>3831</v>
      </c>
      <c r="D1320" s="168" t="s">
        <v>5158</v>
      </c>
      <c r="E1320" s="168" t="s">
        <v>2294</v>
      </c>
      <c r="F1320" s="168" t="s">
        <v>4623</v>
      </c>
      <c r="G1320" s="168" t="s">
        <v>4623</v>
      </c>
      <c r="H1320" s="292" t="s">
        <v>6751</v>
      </c>
      <c r="I1320" s="293" t="s">
        <v>3364</v>
      </c>
      <c r="J1320" s="293" t="s">
        <v>4623</v>
      </c>
      <c r="K1320" s="290" t="s">
        <v>4623</v>
      </c>
      <c r="L1320" s="290" t="s">
        <v>4623</v>
      </c>
      <c r="M1320" s="290" t="s">
        <v>4623</v>
      </c>
      <c r="N1320" s="290" t="s">
        <v>4667</v>
      </c>
      <c r="O1320" s="290" t="s">
        <v>4623</v>
      </c>
      <c r="P1320" s="290" t="s">
        <v>999</v>
      </c>
      <c r="Q1320" s="291" t="s">
        <v>4623</v>
      </c>
      <c r="R1320" s="276"/>
      <c r="S1320" s="277">
        <f>IF(OR(C1320="",C1320=T$4),NA(),MATCH($B1320&amp;$C1320,'Smelter Reference List'!$J:$J,0))</f>
        <v>442</v>
      </c>
      <c r="T1320" s="278"/>
      <c r="U1320" s="278"/>
      <c r="V1320" s="278"/>
      <c r="W1320" s="278"/>
    </row>
    <row r="1321" spans="1:23" s="269" customFormat="1" ht="20.25">
      <c r="A1321" s="267"/>
      <c r="B1321" s="275" t="s">
        <v>2437</v>
      </c>
      <c r="C1321" s="275" t="s">
        <v>3831</v>
      </c>
      <c r="D1321" s="168" t="s">
        <v>6752</v>
      </c>
      <c r="E1321" s="168" t="s">
        <v>2294</v>
      </c>
      <c r="F1321" s="168" t="s">
        <v>6753</v>
      </c>
      <c r="G1321" s="168" t="s">
        <v>3324</v>
      </c>
      <c r="H1321" s="292" t="s">
        <v>4623</v>
      </c>
      <c r="I1321" s="293" t="s">
        <v>4623</v>
      </c>
      <c r="J1321" s="293" t="s">
        <v>4623</v>
      </c>
      <c r="K1321" s="290" t="s">
        <v>4623</v>
      </c>
      <c r="L1321" s="290" t="s">
        <v>4623</v>
      </c>
      <c r="M1321" s="290" t="s">
        <v>4623</v>
      </c>
      <c r="N1321" s="290" t="s">
        <v>4623</v>
      </c>
      <c r="O1321" s="290" t="s">
        <v>4623</v>
      </c>
      <c r="P1321" s="290" t="s">
        <v>999</v>
      </c>
      <c r="Q1321" s="291" t="s">
        <v>4623</v>
      </c>
      <c r="R1321" s="276"/>
      <c r="S1321" s="277">
        <f>IF(OR(C1321="",C1321=T$4),NA(),MATCH($B1321&amp;$C1321,'Smelter Reference List'!$J:$J,0))</f>
        <v>442</v>
      </c>
      <c r="T1321" s="278"/>
      <c r="U1321" s="278"/>
      <c r="V1321" s="278"/>
      <c r="W1321" s="278"/>
    </row>
    <row r="1322" spans="1:23" s="269" customFormat="1" ht="20.25">
      <c r="A1322" s="267"/>
      <c r="B1322" s="275" t="s">
        <v>2437</v>
      </c>
      <c r="C1322" s="275" t="s">
        <v>3831</v>
      </c>
      <c r="D1322" s="168" t="s">
        <v>6754</v>
      </c>
      <c r="E1322" s="168" t="s">
        <v>2294</v>
      </c>
      <c r="F1322" s="168" t="s">
        <v>4623</v>
      </c>
      <c r="G1322" s="168" t="s">
        <v>4623</v>
      </c>
      <c r="H1322" s="292" t="s">
        <v>4623</v>
      </c>
      <c r="I1322" s="293" t="s">
        <v>4623</v>
      </c>
      <c r="J1322" s="293" t="s">
        <v>4623</v>
      </c>
      <c r="K1322" s="290" t="s">
        <v>4623</v>
      </c>
      <c r="L1322" s="290" t="s">
        <v>4623</v>
      </c>
      <c r="M1322" s="290" t="s">
        <v>4623</v>
      </c>
      <c r="N1322" s="290" t="s">
        <v>4623</v>
      </c>
      <c r="O1322" s="290" t="s">
        <v>4623</v>
      </c>
      <c r="P1322" s="290" t="s">
        <v>999</v>
      </c>
      <c r="Q1322" s="291" t="s">
        <v>4623</v>
      </c>
      <c r="R1322" s="276"/>
      <c r="S1322" s="277">
        <f>IF(OR(C1322="",C1322=T$4),NA(),MATCH($B1322&amp;$C1322,'Smelter Reference List'!$J:$J,0))</f>
        <v>442</v>
      </c>
      <c r="T1322" s="278"/>
      <c r="U1322" s="278"/>
      <c r="V1322" s="278"/>
      <c r="W1322" s="278"/>
    </row>
    <row r="1323" spans="1:23" s="269" customFormat="1" ht="20.25">
      <c r="A1323" s="267"/>
      <c r="B1323" s="275" t="s">
        <v>2437</v>
      </c>
      <c r="C1323" s="275" t="s">
        <v>3831</v>
      </c>
      <c r="D1323" s="168" t="s">
        <v>5159</v>
      </c>
      <c r="E1323" s="168" t="s">
        <v>2294</v>
      </c>
      <c r="F1323" s="168" t="s">
        <v>4623</v>
      </c>
      <c r="G1323" s="168" t="s">
        <v>4623</v>
      </c>
      <c r="H1323" s="292" t="s">
        <v>4623</v>
      </c>
      <c r="I1323" s="293" t="s">
        <v>4623</v>
      </c>
      <c r="J1323" s="293" t="s">
        <v>4623</v>
      </c>
      <c r="K1323" s="290" t="s">
        <v>4623</v>
      </c>
      <c r="L1323" s="290" t="s">
        <v>4623</v>
      </c>
      <c r="M1323" s="290" t="s">
        <v>4623</v>
      </c>
      <c r="N1323" s="290" t="s">
        <v>4623</v>
      </c>
      <c r="O1323" s="290" t="s">
        <v>4623</v>
      </c>
      <c r="P1323" s="290" t="s">
        <v>999</v>
      </c>
      <c r="Q1323" s="291" t="s">
        <v>4623</v>
      </c>
      <c r="R1323" s="276"/>
      <c r="S1323" s="277">
        <f>IF(OR(C1323="",C1323=T$4),NA(),MATCH($B1323&amp;$C1323,'Smelter Reference List'!$J:$J,0))</f>
        <v>442</v>
      </c>
      <c r="T1323" s="278"/>
      <c r="U1323" s="278"/>
      <c r="V1323" s="278"/>
      <c r="W1323" s="278"/>
    </row>
    <row r="1324" spans="1:23" s="269" customFormat="1" ht="20.25">
      <c r="A1324" s="267"/>
      <c r="B1324" s="275" t="s">
        <v>2437</v>
      </c>
      <c r="C1324" s="275" t="s">
        <v>3831</v>
      </c>
      <c r="D1324" s="168" t="s">
        <v>6183</v>
      </c>
      <c r="E1324" s="168" t="s">
        <v>2294</v>
      </c>
      <c r="F1324" s="168" t="s">
        <v>4623</v>
      </c>
      <c r="G1324" s="168" t="s">
        <v>4623</v>
      </c>
      <c r="H1324" s="292" t="s">
        <v>4623</v>
      </c>
      <c r="I1324" s="293" t="s">
        <v>4623</v>
      </c>
      <c r="J1324" s="293" t="s">
        <v>4623</v>
      </c>
      <c r="K1324" s="290" t="s">
        <v>4623</v>
      </c>
      <c r="L1324" s="290" t="s">
        <v>4623</v>
      </c>
      <c r="M1324" s="290" t="s">
        <v>4623</v>
      </c>
      <c r="N1324" s="290" t="s">
        <v>4623</v>
      </c>
      <c r="O1324" s="290" t="s">
        <v>4623</v>
      </c>
      <c r="P1324" s="290" t="s">
        <v>999</v>
      </c>
      <c r="Q1324" s="291" t="s">
        <v>4623</v>
      </c>
      <c r="R1324" s="276"/>
      <c r="S1324" s="277">
        <f>IF(OR(C1324="",C1324=T$4),NA(),MATCH($B1324&amp;$C1324,'Smelter Reference List'!$J:$J,0))</f>
        <v>442</v>
      </c>
      <c r="T1324" s="278"/>
      <c r="U1324" s="278"/>
      <c r="V1324" s="278"/>
      <c r="W1324" s="278"/>
    </row>
    <row r="1325" spans="1:23" s="269" customFormat="1" ht="20.25">
      <c r="A1325" s="267"/>
      <c r="B1325" s="275" t="s">
        <v>2437</v>
      </c>
      <c r="C1325" s="275" t="s">
        <v>3831</v>
      </c>
      <c r="D1325" s="168" t="s">
        <v>6755</v>
      </c>
      <c r="E1325" s="168" t="s">
        <v>2294</v>
      </c>
      <c r="F1325" s="168" t="s">
        <v>4623</v>
      </c>
      <c r="G1325" s="168" t="s">
        <v>4623</v>
      </c>
      <c r="H1325" s="292" t="s">
        <v>6756</v>
      </c>
      <c r="I1325" s="293" t="s">
        <v>5246</v>
      </c>
      <c r="J1325" s="293" t="s">
        <v>3545</v>
      </c>
      <c r="K1325" s="290" t="s">
        <v>6757</v>
      </c>
      <c r="L1325" s="290" t="s">
        <v>6758</v>
      </c>
      <c r="M1325" s="290" t="s">
        <v>4623</v>
      </c>
      <c r="N1325" s="290" t="s">
        <v>4623</v>
      </c>
      <c r="O1325" s="290" t="s">
        <v>4623</v>
      </c>
      <c r="P1325" s="290" t="s">
        <v>999</v>
      </c>
      <c r="Q1325" s="291" t="s">
        <v>4623</v>
      </c>
      <c r="R1325" s="276"/>
      <c r="S1325" s="277">
        <f>IF(OR(C1325="",C1325=T$4),NA(),MATCH($B1325&amp;$C1325,'Smelter Reference List'!$J:$J,0))</f>
        <v>442</v>
      </c>
      <c r="T1325" s="278"/>
      <c r="U1325" s="278"/>
      <c r="V1325" s="278"/>
      <c r="W1325" s="278"/>
    </row>
    <row r="1326" spans="1:23" s="269" customFormat="1" ht="20.25">
      <c r="A1326" s="267"/>
      <c r="B1326" s="275" t="s">
        <v>2437</v>
      </c>
      <c r="C1326" s="275" t="s">
        <v>3831</v>
      </c>
      <c r="D1326" s="168" t="s">
        <v>6759</v>
      </c>
      <c r="E1326" s="168" t="s">
        <v>2294</v>
      </c>
      <c r="F1326" s="168" t="s">
        <v>4623</v>
      </c>
      <c r="G1326" s="168" t="s">
        <v>4623</v>
      </c>
      <c r="H1326" s="292" t="s">
        <v>6760</v>
      </c>
      <c r="I1326" s="293" t="s">
        <v>5280</v>
      </c>
      <c r="J1326" s="293" t="s">
        <v>6761</v>
      </c>
      <c r="K1326" s="290" t="s">
        <v>5281</v>
      </c>
      <c r="L1326" s="290" t="s">
        <v>6762</v>
      </c>
      <c r="M1326" s="290" t="s">
        <v>6763</v>
      </c>
      <c r="N1326" s="290" t="s">
        <v>4667</v>
      </c>
      <c r="O1326" s="290" t="s">
        <v>4623</v>
      </c>
      <c r="P1326" s="290" t="s">
        <v>999</v>
      </c>
      <c r="Q1326" s="291" t="s">
        <v>4623</v>
      </c>
      <c r="R1326" s="276"/>
      <c r="S1326" s="277">
        <f>IF(OR(C1326="",C1326=T$4),NA(),MATCH($B1326&amp;$C1326,'Smelter Reference List'!$J:$J,0))</f>
        <v>442</v>
      </c>
      <c r="T1326" s="278"/>
      <c r="U1326" s="278"/>
      <c r="V1326" s="278"/>
      <c r="W1326" s="278"/>
    </row>
    <row r="1327" spans="1:23" s="269" customFormat="1" ht="20.25">
      <c r="A1327" s="267"/>
      <c r="B1327" s="275" t="s">
        <v>2437</v>
      </c>
      <c r="C1327" s="275" t="s">
        <v>3831</v>
      </c>
      <c r="D1327" s="168" t="s">
        <v>6764</v>
      </c>
      <c r="E1327" s="168" t="s">
        <v>2294</v>
      </c>
      <c r="F1327" s="168" t="s">
        <v>4623</v>
      </c>
      <c r="G1327" s="168" t="s">
        <v>4623</v>
      </c>
      <c r="H1327" s="292" t="s">
        <v>4623</v>
      </c>
      <c r="I1327" s="293" t="s">
        <v>4623</v>
      </c>
      <c r="J1327" s="293" t="s">
        <v>4623</v>
      </c>
      <c r="K1327" s="290" t="s">
        <v>4623</v>
      </c>
      <c r="L1327" s="290" t="s">
        <v>4623</v>
      </c>
      <c r="M1327" s="290" t="s">
        <v>4623</v>
      </c>
      <c r="N1327" s="290" t="s">
        <v>5107</v>
      </c>
      <c r="O1327" s="290" t="s">
        <v>4623</v>
      </c>
      <c r="P1327" s="290" t="s">
        <v>999</v>
      </c>
      <c r="Q1327" s="291" t="s">
        <v>4623</v>
      </c>
      <c r="R1327" s="276"/>
      <c r="S1327" s="277">
        <f>IF(OR(C1327="",C1327=T$4),NA(),MATCH($B1327&amp;$C1327,'Smelter Reference List'!$J:$J,0))</f>
        <v>442</v>
      </c>
      <c r="T1327" s="278"/>
      <c r="U1327" s="278"/>
      <c r="V1327" s="278"/>
      <c r="W1327" s="278"/>
    </row>
    <row r="1328" spans="1:23" s="269" customFormat="1" ht="20.25">
      <c r="A1328" s="267"/>
      <c r="B1328" s="275" t="s">
        <v>2437</v>
      </c>
      <c r="C1328" s="275" t="s">
        <v>3831</v>
      </c>
      <c r="D1328" s="168" t="s">
        <v>6765</v>
      </c>
      <c r="E1328" s="168" t="s">
        <v>2294</v>
      </c>
      <c r="F1328" s="168" t="s">
        <v>4623</v>
      </c>
      <c r="G1328" s="168" t="s">
        <v>4623</v>
      </c>
      <c r="H1328" s="292" t="s">
        <v>4623</v>
      </c>
      <c r="I1328" s="293" t="s">
        <v>4623</v>
      </c>
      <c r="J1328" s="293" t="s">
        <v>4623</v>
      </c>
      <c r="K1328" s="290" t="s">
        <v>4623</v>
      </c>
      <c r="L1328" s="290" t="s">
        <v>4623</v>
      </c>
      <c r="M1328" s="290" t="s">
        <v>4623</v>
      </c>
      <c r="N1328" s="290" t="s">
        <v>6766</v>
      </c>
      <c r="O1328" s="290" t="s">
        <v>4623</v>
      </c>
      <c r="P1328" s="290" t="s">
        <v>999</v>
      </c>
      <c r="Q1328" s="291" t="s">
        <v>4623</v>
      </c>
      <c r="R1328" s="276"/>
      <c r="S1328" s="277">
        <f>IF(OR(C1328="",C1328=T$4),NA(),MATCH($B1328&amp;$C1328,'Smelter Reference List'!$J:$J,0))</f>
        <v>442</v>
      </c>
      <c r="T1328" s="278"/>
      <c r="U1328" s="278"/>
      <c r="V1328" s="278"/>
      <c r="W1328" s="278"/>
    </row>
    <row r="1329" spans="1:23" s="269" customFormat="1" ht="20.25">
      <c r="A1329" s="267"/>
      <c r="B1329" s="275" t="s">
        <v>2437</v>
      </c>
      <c r="C1329" s="275" t="s">
        <v>3831</v>
      </c>
      <c r="D1329" s="168" t="s">
        <v>4413</v>
      </c>
      <c r="E1329" s="168" t="s">
        <v>2294</v>
      </c>
      <c r="F1329" s="168" t="s">
        <v>4623</v>
      </c>
      <c r="G1329" s="168" t="s">
        <v>4623</v>
      </c>
      <c r="H1329" s="292" t="s">
        <v>6767</v>
      </c>
      <c r="I1329" s="293" t="s">
        <v>4623</v>
      </c>
      <c r="J1329" s="293" t="s">
        <v>4623</v>
      </c>
      <c r="K1329" s="290" t="s">
        <v>6768</v>
      </c>
      <c r="L1329" s="290" t="s">
        <v>6769</v>
      </c>
      <c r="M1329" s="290" t="s">
        <v>4623</v>
      </c>
      <c r="N1329" s="290" t="s">
        <v>4623</v>
      </c>
      <c r="O1329" s="290" t="s">
        <v>4623</v>
      </c>
      <c r="P1329" s="290" t="s">
        <v>999</v>
      </c>
      <c r="Q1329" s="291" t="s">
        <v>4623</v>
      </c>
      <c r="R1329" s="276"/>
      <c r="S1329" s="277">
        <f>IF(OR(C1329="",C1329=T$4),NA(),MATCH($B1329&amp;$C1329,'Smelter Reference List'!$J:$J,0))</f>
        <v>442</v>
      </c>
      <c r="T1329" s="278"/>
      <c r="U1329" s="278"/>
      <c r="V1329" s="278"/>
      <c r="W1329" s="278"/>
    </row>
    <row r="1330" spans="1:23" s="269" customFormat="1" ht="20.25">
      <c r="A1330" s="267"/>
      <c r="B1330" s="275" t="s">
        <v>2437</v>
      </c>
      <c r="C1330" s="275" t="s">
        <v>3831</v>
      </c>
      <c r="D1330" s="168" t="s">
        <v>6770</v>
      </c>
      <c r="E1330" s="168" t="s">
        <v>2294</v>
      </c>
      <c r="F1330" s="168" t="s">
        <v>4623</v>
      </c>
      <c r="G1330" s="168" t="s">
        <v>4623</v>
      </c>
      <c r="H1330" s="292" t="s">
        <v>4623</v>
      </c>
      <c r="I1330" s="293" t="s">
        <v>4623</v>
      </c>
      <c r="J1330" s="293" t="s">
        <v>4623</v>
      </c>
      <c r="K1330" s="290" t="s">
        <v>4623</v>
      </c>
      <c r="L1330" s="290" t="s">
        <v>4623</v>
      </c>
      <c r="M1330" s="290" t="s">
        <v>4623</v>
      </c>
      <c r="N1330" s="290" t="s">
        <v>4623</v>
      </c>
      <c r="O1330" s="290" t="s">
        <v>4623</v>
      </c>
      <c r="P1330" s="290" t="s">
        <v>999</v>
      </c>
      <c r="Q1330" s="291" t="s">
        <v>4623</v>
      </c>
      <c r="R1330" s="276"/>
      <c r="S1330" s="277">
        <f>IF(OR(C1330="",C1330=T$4),NA(),MATCH($B1330&amp;$C1330,'Smelter Reference List'!$J:$J,0))</f>
        <v>442</v>
      </c>
      <c r="T1330" s="278"/>
      <c r="U1330" s="278"/>
      <c r="V1330" s="278"/>
      <c r="W1330" s="278"/>
    </row>
    <row r="1331" spans="1:23" s="269" customFormat="1" ht="20.25">
      <c r="A1331" s="267"/>
      <c r="B1331" s="275" t="s">
        <v>2437</v>
      </c>
      <c r="C1331" s="275" t="s">
        <v>3831</v>
      </c>
      <c r="D1331" s="168" t="s">
        <v>6771</v>
      </c>
      <c r="E1331" s="168" t="s">
        <v>2294</v>
      </c>
      <c r="F1331" s="168" t="s">
        <v>4623</v>
      </c>
      <c r="G1331" s="168" t="s">
        <v>4623</v>
      </c>
      <c r="H1331" s="292" t="s">
        <v>4623</v>
      </c>
      <c r="I1331" s="293" t="s">
        <v>4623</v>
      </c>
      <c r="J1331" s="293" t="s">
        <v>4623</v>
      </c>
      <c r="K1331" s="290" t="s">
        <v>4623</v>
      </c>
      <c r="L1331" s="290" t="s">
        <v>4623</v>
      </c>
      <c r="M1331" s="290" t="s">
        <v>4623</v>
      </c>
      <c r="N1331" s="290" t="s">
        <v>4623</v>
      </c>
      <c r="O1331" s="290" t="s">
        <v>4623</v>
      </c>
      <c r="P1331" s="290" t="s">
        <v>999</v>
      </c>
      <c r="Q1331" s="291" t="s">
        <v>4623</v>
      </c>
      <c r="R1331" s="276"/>
      <c r="S1331" s="277">
        <f>IF(OR(C1331="",C1331=T$4),NA(),MATCH($B1331&amp;$C1331,'Smelter Reference List'!$J:$J,0))</f>
        <v>442</v>
      </c>
      <c r="T1331" s="278"/>
      <c r="U1331" s="278"/>
      <c r="V1331" s="278"/>
      <c r="W1331" s="278"/>
    </row>
    <row r="1332" spans="1:23" s="269" customFormat="1" ht="20.25">
      <c r="A1332" s="267"/>
      <c r="B1332" s="275" t="s">
        <v>2437</v>
      </c>
      <c r="C1332" s="275" t="s">
        <v>3831</v>
      </c>
      <c r="D1332" s="168" t="s">
        <v>6772</v>
      </c>
      <c r="E1332" s="168" t="s">
        <v>2294</v>
      </c>
      <c r="F1332" s="168" t="s">
        <v>4623</v>
      </c>
      <c r="G1332" s="168" t="s">
        <v>4623</v>
      </c>
      <c r="H1332" s="292" t="s">
        <v>4623</v>
      </c>
      <c r="I1332" s="293" t="s">
        <v>4623</v>
      </c>
      <c r="J1332" s="293" t="s">
        <v>4623</v>
      </c>
      <c r="K1332" s="290" t="s">
        <v>4623</v>
      </c>
      <c r="L1332" s="290" t="s">
        <v>4623</v>
      </c>
      <c r="M1332" s="290" t="s">
        <v>4623</v>
      </c>
      <c r="N1332" s="290" t="s">
        <v>4874</v>
      </c>
      <c r="O1332" s="290" t="s">
        <v>4623</v>
      </c>
      <c r="P1332" s="290" t="s">
        <v>999</v>
      </c>
      <c r="Q1332" s="291" t="s">
        <v>4623</v>
      </c>
      <c r="R1332" s="276"/>
      <c r="S1332" s="277">
        <f>IF(OR(C1332="",C1332=T$4),NA(),MATCH($B1332&amp;$C1332,'Smelter Reference List'!$J:$J,0))</f>
        <v>442</v>
      </c>
      <c r="T1332" s="278"/>
      <c r="U1332" s="278"/>
      <c r="V1332" s="278"/>
      <c r="W1332" s="278"/>
    </row>
    <row r="1333" spans="1:23" s="269" customFormat="1" ht="20.25">
      <c r="A1333" s="267"/>
      <c r="B1333" s="275" t="s">
        <v>2437</v>
      </c>
      <c r="C1333" s="275" t="s">
        <v>3831</v>
      </c>
      <c r="D1333" s="168" t="s">
        <v>6773</v>
      </c>
      <c r="E1333" s="168" t="s">
        <v>2294</v>
      </c>
      <c r="F1333" s="168" t="s">
        <v>4623</v>
      </c>
      <c r="G1333" s="168" t="s">
        <v>4623</v>
      </c>
      <c r="H1333" s="292" t="s">
        <v>4623</v>
      </c>
      <c r="I1333" s="293" t="s">
        <v>4623</v>
      </c>
      <c r="J1333" s="293" t="s">
        <v>4623</v>
      </c>
      <c r="K1333" s="290" t="s">
        <v>4623</v>
      </c>
      <c r="L1333" s="290" t="s">
        <v>4623</v>
      </c>
      <c r="M1333" s="290" t="s">
        <v>4623</v>
      </c>
      <c r="N1333" s="290" t="s">
        <v>4623</v>
      </c>
      <c r="O1333" s="290" t="s">
        <v>4623</v>
      </c>
      <c r="P1333" s="290" t="s">
        <v>999</v>
      </c>
      <c r="Q1333" s="291" t="s">
        <v>4623</v>
      </c>
      <c r="R1333" s="276"/>
      <c r="S1333" s="277">
        <f>IF(OR(C1333="",C1333=T$4),NA(),MATCH($B1333&amp;$C1333,'Smelter Reference List'!$J:$J,0))</f>
        <v>442</v>
      </c>
      <c r="T1333" s="278"/>
      <c r="U1333" s="278"/>
      <c r="V1333" s="278"/>
      <c r="W1333" s="278"/>
    </row>
    <row r="1334" spans="1:23" s="269" customFormat="1" ht="20.25">
      <c r="A1334" s="267"/>
      <c r="B1334" s="275" t="s">
        <v>2437</v>
      </c>
      <c r="C1334" s="275" t="s">
        <v>3831</v>
      </c>
      <c r="D1334" s="168" t="s">
        <v>6774</v>
      </c>
      <c r="E1334" s="168" t="s">
        <v>2294</v>
      </c>
      <c r="F1334" s="168" t="s">
        <v>4623</v>
      </c>
      <c r="G1334" s="168" t="s">
        <v>4623</v>
      </c>
      <c r="H1334" s="292" t="s">
        <v>4623</v>
      </c>
      <c r="I1334" s="293" t="s">
        <v>4623</v>
      </c>
      <c r="J1334" s="293" t="s">
        <v>4623</v>
      </c>
      <c r="K1334" s="290" t="s">
        <v>4623</v>
      </c>
      <c r="L1334" s="290" t="s">
        <v>4623</v>
      </c>
      <c r="M1334" s="290" t="s">
        <v>4623</v>
      </c>
      <c r="N1334" s="290" t="s">
        <v>4623</v>
      </c>
      <c r="O1334" s="290" t="s">
        <v>4623</v>
      </c>
      <c r="P1334" s="290" t="s">
        <v>999</v>
      </c>
      <c r="Q1334" s="291" t="s">
        <v>4623</v>
      </c>
      <c r="R1334" s="276"/>
      <c r="S1334" s="277">
        <f>IF(OR(C1334="",C1334=T$4),NA(),MATCH($B1334&amp;$C1334,'Smelter Reference List'!$J:$J,0))</f>
        <v>442</v>
      </c>
      <c r="T1334" s="278"/>
      <c r="U1334" s="278"/>
      <c r="V1334" s="278"/>
      <c r="W1334" s="278"/>
    </row>
    <row r="1335" spans="1:23" s="269" customFormat="1" ht="20.25">
      <c r="A1335" s="267"/>
      <c r="B1335" s="275" t="s">
        <v>2437</v>
      </c>
      <c r="C1335" s="275" t="s">
        <v>3831</v>
      </c>
      <c r="D1335" s="168" t="s">
        <v>6775</v>
      </c>
      <c r="E1335" s="168" t="s">
        <v>2294</v>
      </c>
      <c r="F1335" s="168" t="s">
        <v>4623</v>
      </c>
      <c r="G1335" s="168" t="s">
        <v>4623</v>
      </c>
      <c r="H1335" s="292" t="s">
        <v>4623</v>
      </c>
      <c r="I1335" s="293" t="s">
        <v>4623</v>
      </c>
      <c r="J1335" s="293" t="s">
        <v>4623</v>
      </c>
      <c r="K1335" s="290" t="s">
        <v>4623</v>
      </c>
      <c r="L1335" s="290" t="s">
        <v>4623</v>
      </c>
      <c r="M1335" s="290" t="s">
        <v>4623</v>
      </c>
      <c r="N1335" s="290" t="s">
        <v>4623</v>
      </c>
      <c r="O1335" s="290" t="s">
        <v>4623</v>
      </c>
      <c r="P1335" s="290" t="s">
        <v>999</v>
      </c>
      <c r="Q1335" s="291" t="s">
        <v>4623</v>
      </c>
      <c r="R1335" s="276"/>
      <c r="S1335" s="277">
        <f>IF(OR(C1335="",C1335=T$4),NA(),MATCH($B1335&amp;$C1335,'Smelter Reference List'!$J:$J,0))</f>
        <v>442</v>
      </c>
      <c r="T1335" s="278"/>
      <c r="U1335" s="278"/>
      <c r="V1335" s="278"/>
      <c r="W1335" s="278"/>
    </row>
    <row r="1336" spans="1:23" s="269" customFormat="1" ht="20.25">
      <c r="A1336" s="267"/>
      <c r="B1336" s="275" t="s">
        <v>2437</v>
      </c>
      <c r="C1336" s="275" t="s">
        <v>3831</v>
      </c>
      <c r="D1336" s="168" t="s">
        <v>6776</v>
      </c>
      <c r="E1336" s="168" t="s">
        <v>2294</v>
      </c>
      <c r="F1336" s="168" t="s">
        <v>4623</v>
      </c>
      <c r="G1336" s="168" t="s">
        <v>4623</v>
      </c>
      <c r="H1336" s="292" t="s">
        <v>4623</v>
      </c>
      <c r="I1336" s="293" t="s">
        <v>4623</v>
      </c>
      <c r="J1336" s="293" t="s">
        <v>4623</v>
      </c>
      <c r="K1336" s="290" t="s">
        <v>4623</v>
      </c>
      <c r="L1336" s="290" t="s">
        <v>4623</v>
      </c>
      <c r="M1336" s="290" t="s">
        <v>6377</v>
      </c>
      <c r="N1336" s="290" t="s">
        <v>5000</v>
      </c>
      <c r="O1336" s="290" t="s">
        <v>5000</v>
      </c>
      <c r="P1336" s="290" t="s">
        <v>999</v>
      </c>
      <c r="Q1336" s="291" t="s">
        <v>4623</v>
      </c>
      <c r="R1336" s="276"/>
      <c r="S1336" s="277">
        <f>IF(OR(C1336="",C1336=T$4),NA(),MATCH($B1336&amp;$C1336,'Smelter Reference List'!$J:$J,0))</f>
        <v>442</v>
      </c>
      <c r="T1336" s="278"/>
      <c r="U1336" s="278"/>
      <c r="V1336" s="278"/>
      <c r="W1336" s="278"/>
    </row>
    <row r="1337" spans="1:23" s="269" customFormat="1" ht="20.25">
      <c r="A1337" s="267"/>
      <c r="B1337" s="275" t="s">
        <v>2437</v>
      </c>
      <c r="C1337" s="275" t="s">
        <v>3831</v>
      </c>
      <c r="D1337" s="168" t="s">
        <v>6777</v>
      </c>
      <c r="E1337" s="168" t="s">
        <v>2294</v>
      </c>
      <c r="F1337" s="168" t="s">
        <v>4623</v>
      </c>
      <c r="G1337" s="168" t="s">
        <v>4623</v>
      </c>
      <c r="H1337" s="292" t="s">
        <v>6778</v>
      </c>
      <c r="I1337" s="293" t="s">
        <v>6779</v>
      </c>
      <c r="J1337" s="293" t="s">
        <v>3393</v>
      </c>
      <c r="K1337" s="290" t="s">
        <v>6780</v>
      </c>
      <c r="L1337" s="290" t="s">
        <v>6781</v>
      </c>
      <c r="M1337" s="290" t="s">
        <v>4623</v>
      </c>
      <c r="N1337" s="290" t="s">
        <v>4623</v>
      </c>
      <c r="O1337" s="290" t="s">
        <v>4623</v>
      </c>
      <c r="P1337" s="290" t="s">
        <v>999</v>
      </c>
      <c r="Q1337" s="291" t="s">
        <v>4623</v>
      </c>
      <c r="R1337" s="276"/>
      <c r="S1337" s="277">
        <f>IF(OR(C1337="",C1337=T$4),NA(),MATCH($B1337&amp;$C1337,'Smelter Reference List'!$J:$J,0))</f>
        <v>442</v>
      </c>
      <c r="T1337" s="278"/>
      <c r="U1337" s="278"/>
      <c r="V1337" s="278"/>
      <c r="W1337" s="278"/>
    </row>
    <row r="1338" spans="1:23" s="269" customFormat="1" ht="20.25">
      <c r="A1338" s="267"/>
      <c r="B1338" s="275" t="s">
        <v>2437</v>
      </c>
      <c r="C1338" s="275" t="s">
        <v>3831</v>
      </c>
      <c r="D1338" s="168" t="s">
        <v>6782</v>
      </c>
      <c r="E1338" s="168" t="s">
        <v>2294</v>
      </c>
      <c r="F1338" s="168" t="s">
        <v>4623</v>
      </c>
      <c r="G1338" s="168" t="s">
        <v>4623</v>
      </c>
      <c r="H1338" s="292" t="s">
        <v>4623</v>
      </c>
      <c r="I1338" s="293" t="s">
        <v>4623</v>
      </c>
      <c r="J1338" s="293" t="s">
        <v>4623</v>
      </c>
      <c r="K1338" s="290" t="s">
        <v>4623</v>
      </c>
      <c r="L1338" s="290" t="s">
        <v>4623</v>
      </c>
      <c r="M1338" s="290" t="s">
        <v>4623</v>
      </c>
      <c r="N1338" s="290" t="s">
        <v>4623</v>
      </c>
      <c r="O1338" s="290" t="s">
        <v>4623</v>
      </c>
      <c r="P1338" s="290" t="s">
        <v>999</v>
      </c>
      <c r="Q1338" s="291" t="s">
        <v>4623</v>
      </c>
      <c r="R1338" s="276"/>
      <c r="S1338" s="277">
        <f>IF(OR(C1338="",C1338=T$4),NA(),MATCH($B1338&amp;$C1338,'Smelter Reference List'!$J:$J,0))</f>
        <v>442</v>
      </c>
      <c r="T1338" s="278"/>
      <c r="U1338" s="278"/>
      <c r="V1338" s="278"/>
      <c r="W1338" s="278"/>
    </row>
    <row r="1339" spans="1:23" s="269" customFormat="1" ht="20.25">
      <c r="A1339" s="267"/>
      <c r="B1339" s="275" t="s">
        <v>2437</v>
      </c>
      <c r="C1339" s="275" t="s">
        <v>3831</v>
      </c>
      <c r="D1339" s="168" t="s">
        <v>6783</v>
      </c>
      <c r="E1339" s="168" t="s">
        <v>2294</v>
      </c>
      <c r="F1339" s="168" t="s">
        <v>4623</v>
      </c>
      <c r="G1339" s="168" t="s">
        <v>4623</v>
      </c>
      <c r="H1339" s="292" t="s">
        <v>4623</v>
      </c>
      <c r="I1339" s="293" t="s">
        <v>4623</v>
      </c>
      <c r="J1339" s="293" t="s">
        <v>4623</v>
      </c>
      <c r="K1339" s="290" t="s">
        <v>4623</v>
      </c>
      <c r="L1339" s="290" t="s">
        <v>4623</v>
      </c>
      <c r="M1339" s="290" t="s">
        <v>4623</v>
      </c>
      <c r="N1339" s="290" t="s">
        <v>4709</v>
      </c>
      <c r="O1339" s="290" t="s">
        <v>4623</v>
      </c>
      <c r="P1339" s="290" t="s">
        <v>999</v>
      </c>
      <c r="Q1339" s="291" t="s">
        <v>4623</v>
      </c>
      <c r="R1339" s="276"/>
      <c r="S1339" s="277">
        <f>IF(OR(C1339="",C1339=T$4),NA(),MATCH($B1339&amp;$C1339,'Smelter Reference List'!$J:$J,0))</f>
        <v>442</v>
      </c>
      <c r="T1339" s="278"/>
      <c r="U1339" s="278"/>
      <c r="V1339" s="278"/>
      <c r="W1339" s="278"/>
    </row>
    <row r="1340" spans="1:23" s="269" customFormat="1" ht="20.25">
      <c r="A1340" s="267"/>
      <c r="B1340" s="275" t="s">
        <v>2437</v>
      </c>
      <c r="C1340" s="275" t="s">
        <v>3831</v>
      </c>
      <c r="D1340" s="168" t="s">
        <v>6784</v>
      </c>
      <c r="E1340" s="168" t="s">
        <v>2294</v>
      </c>
      <c r="F1340" s="168" t="s">
        <v>4623</v>
      </c>
      <c r="G1340" s="168" t="s">
        <v>4623</v>
      </c>
      <c r="H1340" s="292" t="s">
        <v>4623</v>
      </c>
      <c r="I1340" s="293" t="s">
        <v>4623</v>
      </c>
      <c r="J1340" s="293" t="s">
        <v>4623</v>
      </c>
      <c r="K1340" s="290" t="s">
        <v>4623</v>
      </c>
      <c r="L1340" s="290" t="s">
        <v>4623</v>
      </c>
      <c r="M1340" s="290" t="s">
        <v>4623</v>
      </c>
      <c r="N1340" s="290" t="s">
        <v>4623</v>
      </c>
      <c r="O1340" s="290" t="s">
        <v>4623</v>
      </c>
      <c r="P1340" s="290" t="s">
        <v>999</v>
      </c>
      <c r="Q1340" s="291" t="s">
        <v>4623</v>
      </c>
      <c r="R1340" s="276"/>
      <c r="S1340" s="277">
        <f>IF(OR(C1340="",C1340=T$4),NA(),MATCH($B1340&amp;$C1340,'Smelter Reference List'!$J:$J,0))</f>
        <v>442</v>
      </c>
      <c r="T1340" s="278"/>
      <c r="U1340" s="278"/>
      <c r="V1340" s="278"/>
      <c r="W1340" s="278"/>
    </row>
    <row r="1341" spans="1:23" s="269" customFormat="1" ht="20.25">
      <c r="A1341" s="267"/>
      <c r="B1341" s="275" t="s">
        <v>2437</v>
      </c>
      <c r="C1341" s="275" t="s">
        <v>3831</v>
      </c>
      <c r="D1341" s="168" t="s">
        <v>6785</v>
      </c>
      <c r="E1341" s="168" t="s">
        <v>2294</v>
      </c>
      <c r="F1341" s="168" t="s">
        <v>4623</v>
      </c>
      <c r="G1341" s="168" t="s">
        <v>4623</v>
      </c>
      <c r="H1341" s="292" t="s">
        <v>4623</v>
      </c>
      <c r="I1341" s="293" t="s">
        <v>4623</v>
      </c>
      <c r="J1341" s="293" t="s">
        <v>4623</v>
      </c>
      <c r="K1341" s="290" t="s">
        <v>4623</v>
      </c>
      <c r="L1341" s="290" t="s">
        <v>4623</v>
      </c>
      <c r="M1341" s="290" t="s">
        <v>4623</v>
      </c>
      <c r="N1341" s="290" t="s">
        <v>4623</v>
      </c>
      <c r="O1341" s="290" t="s">
        <v>4623</v>
      </c>
      <c r="P1341" s="290" t="s">
        <v>999</v>
      </c>
      <c r="Q1341" s="291" t="s">
        <v>4623</v>
      </c>
      <c r="R1341" s="276"/>
      <c r="S1341" s="277">
        <f>IF(OR(C1341="",C1341=T$4),NA(),MATCH($B1341&amp;$C1341,'Smelter Reference List'!$J:$J,0))</f>
        <v>442</v>
      </c>
      <c r="T1341" s="278"/>
      <c r="U1341" s="278"/>
      <c r="V1341" s="278"/>
      <c r="W1341" s="278"/>
    </row>
    <row r="1342" spans="1:23" s="269" customFormat="1" ht="20.25">
      <c r="A1342" s="267"/>
      <c r="B1342" s="275" t="s">
        <v>2437</v>
      </c>
      <c r="C1342" s="275" t="s">
        <v>3831</v>
      </c>
      <c r="D1342" s="168" t="s">
        <v>6786</v>
      </c>
      <c r="E1342" s="168" t="s">
        <v>2294</v>
      </c>
      <c r="F1342" s="168" t="s">
        <v>4623</v>
      </c>
      <c r="G1342" s="168" t="s">
        <v>4623</v>
      </c>
      <c r="H1342" s="292" t="s">
        <v>4623</v>
      </c>
      <c r="I1342" s="293" t="s">
        <v>4623</v>
      </c>
      <c r="J1342" s="293" t="s">
        <v>4623</v>
      </c>
      <c r="K1342" s="290" t="s">
        <v>4623</v>
      </c>
      <c r="L1342" s="290" t="s">
        <v>4623</v>
      </c>
      <c r="M1342" s="290" t="s">
        <v>4623</v>
      </c>
      <c r="N1342" s="290" t="s">
        <v>4623</v>
      </c>
      <c r="O1342" s="290" t="s">
        <v>4623</v>
      </c>
      <c r="P1342" s="290" t="s">
        <v>999</v>
      </c>
      <c r="Q1342" s="291" t="s">
        <v>4623</v>
      </c>
      <c r="R1342" s="276"/>
      <c r="S1342" s="277">
        <f>IF(OR(C1342="",C1342=T$4),NA(),MATCH($B1342&amp;$C1342,'Smelter Reference List'!$J:$J,0))</f>
        <v>442</v>
      </c>
      <c r="T1342" s="278"/>
      <c r="U1342" s="278"/>
      <c r="V1342" s="278"/>
      <c r="W1342" s="278"/>
    </row>
    <row r="1343" spans="1:23" s="269" customFormat="1" ht="20.25">
      <c r="A1343" s="267"/>
      <c r="B1343" s="275" t="s">
        <v>2437</v>
      </c>
      <c r="C1343" s="275" t="s">
        <v>3831</v>
      </c>
      <c r="D1343" s="168" t="s">
        <v>6787</v>
      </c>
      <c r="E1343" s="168" t="s">
        <v>2294</v>
      </c>
      <c r="F1343" s="168" t="s">
        <v>4623</v>
      </c>
      <c r="G1343" s="168" t="s">
        <v>4623</v>
      </c>
      <c r="H1343" s="292" t="s">
        <v>4623</v>
      </c>
      <c r="I1343" s="293" t="s">
        <v>4623</v>
      </c>
      <c r="J1343" s="293" t="s">
        <v>4623</v>
      </c>
      <c r="K1343" s="290" t="s">
        <v>4623</v>
      </c>
      <c r="L1343" s="290" t="s">
        <v>4623</v>
      </c>
      <c r="M1343" s="290" t="s">
        <v>4623</v>
      </c>
      <c r="N1343" s="290" t="s">
        <v>4623</v>
      </c>
      <c r="O1343" s="290" t="s">
        <v>4623</v>
      </c>
      <c r="P1343" s="290" t="s">
        <v>999</v>
      </c>
      <c r="Q1343" s="291" t="s">
        <v>4623</v>
      </c>
      <c r="R1343" s="276"/>
      <c r="S1343" s="277">
        <f>IF(OR(C1343="",C1343=T$4),NA(),MATCH($B1343&amp;$C1343,'Smelter Reference List'!$J:$J,0))</f>
        <v>442</v>
      </c>
      <c r="T1343" s="278"/>
      <c r="U1343" s="278"/>
      <c r="V1343" s="278"/>
      <c r="W1343" s="278"/>
    </row>
    <row r="1344" spans="1:23" s="269" customFormat="1" ht="20.25">
      <c r="A1344" s="267"/>
      <c r="B1344" s="275" t="s">
        <v>2437</v>
      </c>
      <c r="C1344" s="275" t="s">
        <v>3831</v>
      </c>
      <c r="D1344" s="168" t="s">
        <v>6788</v>
      </c>
      <c r="E1344" s="168" t="s">
        <v>2294</v>
      </c>
      <c r="F1344" s="168" t="s">
        <v>4623</v>
      </c>
      <c r="G1344" s="168" t="s">
        <v>4623</v>
      </c>
      <c r="H1344" s="292" t="s">
        <v>4623</v>
      </c>
      <c r="I1344" s="293" t="s">
        <v>4623</v>
      </c>
      <c r="J1344" s="293" t="s">
        <v>4623</v>
      </c>
      <c r="K1344" s="290" t="s">
        <v>4623</v>
      </c>
      <c r="L1344" s="290" t="s">
        <v>4623</v>
      </c>
      <c r="M1344" s="290" t="s">
        <v>4623</v>
      </c>
      <c r="N1344" s="290" t="s">
        <v>4623</v>
      </c>
      <c r="O1344" s="290" t="s">
        <v>4623</v>
      </c>
      <c r="P1344" s="290" t="s">
        <v>999</v>
      </c>
      <c r="Q1344" s="291" t="s">
        <v>4623</v>
      </c>
      <c r="R1344" s="276"/>
      <c r="S1344" s="277">
        <f>IF(OR(C1344="",C1344=T$4),NA(),MATCH($B1344&amp;$C1344,'Smelter Reference List'!$J:$J,0))</f>
        <v>442</v>
      </c>
      <c r="T1344" s="278"/>
      <c r="U1344" s="278"/>
      <c r="V1344" s="278"/>
      <c r="W1344" s="278"/>
    </row>
    <row r="1345" spans="1:23" s="269" customFormat="1" ht="20.25">
      <c r="A1345" s="267"/>
      <c r="B1345" s="275" t="s">
        <v>2437</v>
      </c>
      <c r="C1345" s="275" t="s">
        <v>3831</v>
      </c>
      <c r="D1345" s="168" t="s">
        <v>6789</v>
      </c>
      <c r="E1345" s="168" t="s">
        <v>2294</v>
      </c>
      <c r="F1345" s="168" t="s">
        <v>4623</v>
      </c>
      <c r="G1345" s="168" t="s">
        <v>4623</v>
      </c>
      <c r="H1345" s="292" t="s">
        <v>4623</v>
      </c>
      <c r="I1345" s="293" t="s">
        <v>4623</v>
      </c>
      <c r="J1345" s="293" t="s">
        <v>4623</v>
      </c>
      <c r="K1345" s="290" t="s">
        <v>4623</v>
      </c>
      <c r="L1345" s="290" t="s">
        <v>4623</v>
      </c>
      <c r="M1345" s="290" t="s">
        <v>4623</v>
      </c>
      <c r="N1345" s="290" t="s">
        <v>4623</v>
      </c>
      <c r="O1345" s="290" t="s">
        <v>4623</v>
      </c>
      <c r="P1345" s="290" t="s">
        <v>999</v>
      </c>
      <c r="Q1345" s="291" t="s">
        <v>6790</v>
      </c>
      <c r="R1345" s="276"/>
      <c r="S1345" s="277">
        <f>IF(OR(C1345="",C1345=T$4),NA(),MATCH($B1345&amp;$C1345,'Smelter Reference List'!$J:$J,0))</f>
        <v>442</v>
      </c>
      <c r="T1345" s="278"/>
      <c r="U1345" s="278"/>
      <c r="V1345" s="278"/>
      <c r="W1345" s="278"/>
    </row>
    <row r="1346" spans="1:23" s="269" customFormat="1" ht="20.25">
      <c r="A1346" s="267"/>
      <c r="B1346" s="275" t="s">
        <v>2437</v>
      </c>
      <c r="C1346" s="275" t="s">
        <v>3831</v>
      </c>
      <c r="D1346" s="168" t="s">
        <v>6791</v>
      </c>
      <c r="E1346" s="168" t="s">
        <v>2294</v>
      </c>
      <c r="F1346" s="168" t="s">
        <v>4623</v>
      </c>
      <c r="G1346" s="168" t="s">
        <v>4623</v>
      </c>
      <c r="H1346" s="292" t="s">
        <v>4623</v>
      </c>
      <c r="I1346" s="293" t="s">
        <v>4623</v>
      </c>
      <c r="J1346" s="293" t="s">
        <v>4623</v>
      </c>
      <c r="K1346" s="290" t="s">
        <v>4623</v>
      </c>
      <c r="L1346" s="290" t="s">
        <v>4623</v>
      </c>
      <c r="M1346" s="290" t="s">
        <v>4623</v>
      </c>
      <c r="N1346" s="290" t="s">
        <v>4623</v>
      </c>
      <c r="O1346" s="290" t="s">
        <v>4623</v>
      </c>
      <c r="P1346" s="290" t="s">
        <v>999</v>
      </c>
      <c r="Q1346" s="291" t="s">
        <v>4623</v>
      </c>
      <c r="R1346" s="276"/>
      <c r="S1346" s="277">
        <f>IF(OR(C1346="",C1346=T$4),NA(),MATCH($B1346&amp;$C1346,'Smelter Reference List'!$J:$J,0))</f>
        <v>442</v>
      </c>
      <c r="T1346" s="278"/>
      <c r="U1346" s="278"/>
      <c r="V1346" s="278"/>
      <c r="W1346" s="278"/>
    </row>
    <row r="1347" spans="1:23" s="269" customFormat="1" ht="20.25">
      <c r="A1347" s="267"/>
      <c r="B1347" s="275" t="s">
        <v>2437</v>
      </c>
      <c r="C1347" s="275" t="s">
        <v>3831</v>
      </c>
      <c r="D1347" s="168" t="s">
        <v>6792</v>
      </c>
      <c r="E1347" s="168" t="s">
        <v>2294</v>
      </c>
      <c r="F1347" s="168" t="s">
        <v>4623</v>
      </c>
      <c r="G1347" s="168" t="s">
        <v>4623</v>
      </c>
      <c r="H1347" s="292" t="s">
        <v>4623</v>
      </c>
      <c r="I1347" s="293" t="s">
        <v>4623</v>
      </c>
      <c r="J1347" s="293" t="s">
        <v>4623</v>
      </c>
      <c r="K1347" s="290" t="s">
        <v>4623</v>
      </c>
      <c r="L1347" s="290" t="s">
        <v>4623</v>
      </c>
      <c r="M1347" s="290" t="s">
        <v>4623</v>
      </c>
      <c r="N1347" s="290" t="s">
        <v>4623</v>
      </c>
      <c r="O1347" s="290" t="s">
        <v>4623</v>
      </c>
      <c r="P1347" s="290" t="s">
        <v>999</v>
      </c>
      <c r="Q1347" s="291" t="s">
        <v>4623</v>
      </c>
      <c r="R1347" s="276"/>
      <c r="S1347" s="277">
        <f>IF(OR(C1347="",C1347=T$4),NA(),MATCH($B1347&amp;$C1347,'Smelter Reference List'!$J:$J,0))</f>
        <v>442</v>
      </c>
      <c r="T1347" s="278"/>
      <c r="U1347" s="278"/>
      <c r="V1347" s="278"/>
      <c r="W1347" s="278"/>
    </row>
    <row r="1348" spans="1:23" s="269" customFormat="1" ht="20.25">
      <c r="A1348" s="267"/>
      <c r="B1348" s="275" t="s">
        <v>2437</v>
      </c>
      <c r="C1348" s="275" t="s">
        <v>3831</v>
      </c>
      <c r="D1348" s="168" t="s">
        <v>6793</v>
      </c>
      <c r="E1348" s="168" t="s">
        <v>2294</v>
      </c>
      <c r="F1348" s="168" t="s">
        <v>4623</v>
      </c>
      <c r="G1348" s="168" t="s">
        <v>4623</v>
      </c>
      <c r="H1348" s="292" t="s">
        <v>4623</v>
      </c>
      <c r="I1348" s="293" t="s">
        <v>4623</v>
      </c>
      <c r="J1348" s="293" t="s">
        <v>4623</v>
      </c>
      <c r="K1348" s="290" t="s">
        <v>4623</v>
      </c>
      <c r="L1348" s="290" t="s">
        <v>4623</v>
      </c>
      <c r="M1348" s="290" t="s">
        <v>4623</v>
      </c>
      <c r="N1348" s="290" t="s">
        <v>4623</v>
      </c>
      <c r="O1348" s="290" t="s">
        <v>4623</v>
      </c>
      <c r="P1348" s="290" t="s">
        <v>999</v>
      </c>
      <c r="Q1348" s="291" t="s">
        <v>4623</v>
      </c>
      <c r="R1348" s="276"/>
      <c r="S1348" s="277">
        <f>IF(OR(C1348="",C1348=T$4),NA(),MATCH($B1348&amp;$C1348,'Smelter Reference List'!$J:$J,0))</f>
        <v>442</v>
      </c>
      <c r="T1348" s="278"/>
      <c r="U1348" s="278"/>
      <c r="V1348" s="278"/>
      <c r="W1348" s="278"/>
    </row>
    <row r="1349" spans="1:23" s="269" customFormat="1" ht="20.25">
      <c r="A1349" s="267"/>
      <c r="B1349" s="275" t="s">
        <v>2437</v>
      </c>
      <c r="C1349" s="275" t="s">
        <v>3831</v>
      </c>
      <c r="D1349" s="168" t="s">
        <v>6794</v>
      </c>
      <c r="E1349" s="168" t="s">
        <v>2294</v>
      </c>
      <c r="F1349" s="168" t="s">
        <v>4623</v>
      </c>
      <c r="G1349" s="168" t="s">
        <v>4623</v>
      </c>
      <c r="H1349" s="292" t="s">
        <v>4623</v>
      </c>
      <c r="I1349" s="293" t="s">
        <v>4623</v>
      </c>
      <c r="J1349" s="293" t="s">
        <v>4623</v>
      </c>
      <c r="K1349" s="290" t="s">
        <v>4623</v>
      </c>
      <c r="L1349" s="290" t="s">
        <v>4623</v>
      </c>
      <c r="M1349" s="290" t="s">
        <v>4623</v>
      </c>
      <c r="N1349" s="290" t="s">
        <v>4623</v>
      </c>
      <c r="O1349" s="290" t="s">
        <v>4623</v>
      </c>
      <c r="P1349" s="290" t="s">
        <v>999</v>
      </c>
      <c r="Q1349" s="291" t="s">
        <v>4623</v>
      </c>
      <c r="R1349" s="276"/>
      <c r="S1349" s="277">
        <f>IF(OR(C1349="",C1349=T$4),NA(),MATCH($B1349&amp;$C1349,'Smelter Reference List'!$J:$J,0))</f>
        <v>442</v>
      </c>
      <c r="T1349" s="278"/>
      <c r="U1349" s="278"/>
      <c r="V1349" s="278"/>
      <c r="W1349" s="278"/>
    </row>
    <row r="1350" spans="1:23" s="269" customFormat="1" ht="20.25">
      <c r="A1350" s="267"/>
      <c r="B1350" s="275" t="s">
        <v>2437</v>
      </c>
      <c r="C1350" s="275" t="s">
        <v>3831</v>
      </c>
      <c r="D1350" s="168" t="s">
        <v>6795</v>
      </c>
      <c r="E1350" s="168" t="s">
        <v>2294</v>
      </c>
      <c r="F1350" s="168" t="s">
        <v>4623</v>
      </c>
      <c r="G1350" s="168" t="s">
        <v>4623</v>
      </c>
      <c r="H1350" s="292" t="s">
        <v>4623</v>
      </c>
      <c r="I1350" s="293" t="s">
        <v>4623</v>
      </c>
      <c r="J1350" s="293" t="s">
        <v>4623</v>
      </c>
      <c r="K1350" s="290" t="s">
        <v>4623</v>
      </c>
      <c r="L1350" s="290" t="s">
        <v>4623</v>
      </c>
      <c r="M1350" s="290" t="s">
        <v>4623</v>
      </c>
      <c r="N1350" s="290" t="s">
        <v>4623</v>
      </c>
      <c r="O1350" s="290" t="s">
        <v>4623</v>
      </c>
      <c r="P1350" s="290" t="s">
        <v>999</v>
      </c>
      <c r="Q1350" s="291" t="s">
        <v>4623</v>
      </c>
      <c r="R1350" s="276"/>
      <c r="S1350" s="277">
        <f>IF(OR(C1350="",C1350=T$4),NA(),MATCH($B1350&amp;$C1350,'Smelter Reference List'!$J:$J,0))</f>
        <v>442</v>
      </c>
      <c r="T1350" s="278"/>
      <c r="U1350" s="278"/>
      <c r="V1350" s="278"/>
      <c r="W1350" s="278"/>
    </row>
    <row r="1351" spans="1:23" s="269" customFormat="1" ht="20.25">
      <c r="A1351" s="267"/>
      <c r="B1351" s="275" t="s">
        <v>2437</v>
      </c>
      <c r="C1351" s="275" t="s">
        <v>3831</v>
      </c>
      <c r="D1351" s="168" t="s">
        <v>6796</v>
      </c>
      <c r="E1351" s="168" t="s">
        <v>2294</v>
      </c>
      <c r="F1351" s="168" t="s">
        <v>4623</v>
      </c>
      <c r="G1351" s="168" t="s">
        <v>4623</v>
      </c>
      <c r="H1351" s="292" t="s">
        <v>4623</v>
      </c>
      <c r="I1351" s="293" t="s">
        <v>4623</v>
      </c>
      <c r="J1351" s="293" t="s">
        <v>4623</v>
      </c>
      <c r="K1351" s="290" t="s">
        <v>4623</v>
      </c>
      <c r="L1351" s="290" t="s">
        <v>4623</v>
      </c>
      <c r="M1351" s="290" t="s">
        <v>4623</v>
      </c>
      <c r="N1351" s="290" t="s">
        <v>4623</v>
      </c>
      <c r="O1351" s="290" t="s">
        <v>4623</v>
      </c>
      <c r="P1351" s="290" t="s">
        <v>999</v>
      </c>
      <c r="Q1351" s="291" t="s">
        <v>4623</v>
      </c>
      <c r="R1351" s="276"/>
      <c r="S1351" s="277">
        <f>IF(OR(C1351="",C1351=T$4),NA(),MATCH($B1351&amp;$C1351,'Smelter Reference List'!$J:$J,0))</f>
        <v>442</v>
      </c>
      <c r="T1351" s="278"/>
      <c r="U1351" s="278"/>
      <c r="V1351" s="278"/>
      <c r="W1351" s="278"/>
    </row>
    <row r="1352" spans="1:23" s="269" customFormat="1" ht="20.25">
      <c r="A1352" s="267"/>
      <c r="B1352" s="275" t="s">
        <v>2437</v>
      </c>
      <c r="C1352" s="275" t="s">
        <v>3831</v>
      </c>
      <c r="D1352" s="168" t="s">
        <v>6797</v>
      </c>
      <c r="E1352" s="168" t="s">
        <v>2294</v>
      </c>
      <c r="F1352" s="168" t="s">
        <v>4623</v>
      </c>
      <c r="G1352" s="168" t="s">
        <v>4623</v>
      </c>
      <c r="H1352" s="292" t="s">
        <v>4623</v>
      </c>
      <c r="I1352" s="293" t="s">
        <v>4623</v>
      </c>
      <c r="J1352" s="293" t="s">
        <v>4623</v>
      </c>
      <c r="K1352" s="290" t="s">
        <v>4623</v>
      </c>
      <c r="L1352" s="290" t="s">
        <v>4623</v>
      </c>
      <c r="M1352" s="290" t="s">
        <v>4623</v>
      </c>
      <c r="N1352" s="290" t="s">
        <v>4623</v>
      </c>
      <c r="O1352" s="290" t="s">
        <v>4623</v>
      </c>
      <c r="P1352" s="290" t="s">
        <v>999</v>
      </c>
      <c r="Q1352" s="291" t="s">
        <v>4623</v>
      </c>
      <c r="R1352" s="276"/>
      <c r="S1352" s="277">
        <f>IF(OR(C1352="",C1352=T$4),NA(),MATCH($B1352&amp;$C1352,'Smelter Reference List'!$J:$J,0))</f>
        <v>442</v>
      </c>
      <c r="T1352" s="278"/>
      <c r="U1352" s="278"/>
      <c r="V1352" s="278"/>
      <c r="W1352" s="278"/>
    </row>
    <row r="1353" spans="1:23" s="269" customFormat="1" ht="20.25">
      <c r="A1353" s="267"/>
      <c r="B1353" s="275" t="s">
        <v>2437</v>
      </c>
      <c r="C1353" s="275" t="s">
        <v>3831</v>
      </c>
      <c r="D1353" s="168" t="s">
        <v>6798</v>
      </c>
      <c r="E1353" s="168" t="s">
        <v>2294</v>
      </c>
      <c r="F1353" s="168" t="s">
        <v>4623</v>
      </c>
      <c r="G1353" s="168" t="s">
        <v>4623</v>
      </c>
      <c r="H1353" s="292" t="s">
        <v>4623</v>
      </c>
      <c r="I1353" s="293" t="s">
        <v>4623</v>
      </c>
      <c r="J1353" s="293" t="s">
        <v>4623</v>
      </c>
      <c r="K1353" s="290" t="s">
        <v>4623</v>
      </c>
      <c r="L1353" s="290" t="s">
        <v>4623</v>
      </c>
      <c r="M1353" s="290" t="s">
        <v>4623</v>
      </c>
      <c r="N1353" s="290" t="s">
        <v>4623</v>
      </c>
      <c r="O1353" s="290" t="s">
        <v>4623</v>
      </c>
      <c r="P1353" s="290" t="s">
        <v>999</v>
      </c>
      <c r="Q1353" s="291" t="s">
        <v>4623</v>
      </c>
      <c r="R1353" s="276"/>
      <c r="S1353" s="277">
        <f>IF(OR(C1353="",C1353=T$4),NA(),MATCH($B1353&amp;$C1353,'Smelter Reference List'!$J:$J,0))</f>
        <v>442</v>
      </c>
      <c r="T1353" s="278"/>
      <c r="U1353" s="278"/>
      <c r="V1353" s="278"/>
      <c r="W1353" s="278"/>
    </row>
    <row r="1354" spans="1:23" s="269" customFormat="1" ht="20.25">
      <c r="A1354" s="267"/>
      <c r="B1354" s="275" t="s">
        <v>2437</v>
      </c>
      <c r="C1354" s="275" t="s">
        <v>3831</v>
      </c>
      <c r="D1354" s="168" t="s">
        <v>6799</v>
      </c>
      <c r="E1354" s="168" t="s">
        <v>2294</v>
      </c>
      <c r="F1354" s="168" t="s">
        <v>4623</v>
      </c>
      <c r="G1354" s="168" t="s">
        <v>4623</v>
      </c>
      <c r="H1354" s="292" t="s">
        <v>4623</v>
      </c>
      <c r="I1354" s="293" t="s">
        <v>4623</v>
      </c>
      <c r="J1354" s="293" t="s">
        <v>4623</v>
      </c>
      <c r="K1354" s="290" t="s">
        <v>4623</v>
      </c>
      <c r="L1354" s="290" t="s">
        <v>4623</v>
      </c>
      <c r="M1354" s="290" t="s">
        <v>4623</v>
      </c>
      <c r="N1354" s="290" t="s">
        <v>4623</v>
      </c>
      <c r="O1354" s="290" t="s">
        <v>4623</v>
      </c>
      <c r="P1354" s="290" t="s">
        <v>999</v>
      </c>
      <c r="Q1354" s="291" t="s">
        <v>4623</v>
      </c>
      <c r="R1354" s="276"/>
      <c r="S1354" s="277">
        <f>IF(OR(C1354="",C1354=T$4),NA(),MATCH($B1354&amp;$C1354,'Smelter Reference List'!$J:$J,0))</f>
        <v>442</v>
      </c>
      <c r="T1354" s="278"/>
      <c r="U1354" s="278"/>
      <c r="V1354" s="278"/>
      <c r="W1354" s="278"/>
    </row>
    <row r="1355" spans="1:23" s="269" customFormat="1" ht="20.25">
      <c r="A1355" s="267"/>
      <c r="B1355" s="275" t="s">
        <v>2437</v>
      </c>
      <c r="C1355" s="275" t="s">
        <v>3831</v>
      </c>
      <c r="D1355" s="168" t="s">
        <v>5204</v>
      </c>
      <c r="E1355" s="168" t="s">
        <v>2294</v>
      </c>
      <c r="F1355" s="168" t="s">
        <v>4623</v>
      </c>
      <c r="G1355" s="168" t="s">
        <v>4623</v>
      </c>
      <c r="H1355" s="292" t="s">
        <v>6800</v>
      </c>
      <c r="I1355" s="293" t="s">
        <v>3545</v>
      </c>
      <c r="J1355" s="293" t="s">
        <v>6801</v>
      </c>
      <c r="K1355" s="290" t="s">
        <v>4623</v>
      </c>
      <c r="L1355" s="290" t="s">
        <v>4623</v>
      </c>
      <c r="M1355" s="290" t="s">
        <v>4628</v>
      </c>
      <c r="N1355" s="290" t="s">
        <v>4628</v>
      </c>
      <c r="O1355" s="290" t="s">
        <v>4623</v>
      </c>
      <c r="P1355" s="290" t="s">
        <v>999</v>
      </c>
      <c r="Q1355" s="291" t="s">
        <v>4623</v>
      </c>
      <c r="R1355" s="276"/>
      <c r="S1355" s="277">
        <f>IF(OR(C1355="",C1355=T$4),NA(),MATCH($B1355&amp;$C1355,'Smelter Reference List'!$J:$J,0))</f>
        <v>442</v>
      </c>
      <c r="T1355" s="278"/>
      <c r="U1355" s="278"/>
      <c r="V1355" s="278"/>
      <c r="W1355" s="278"/>
    </row>
    <row r="1356" spans="1:23" s="269" customFormat="1" ht="20.25">
      <c r="A1356" s="267"/>
      <c r="B1356" s="275" t="s">
        <v>2437</v>
      </c>
      <c r="C1356" s="275" t="s">
        <v>3831</v>
      </c>
      <c r="D1356" s="168" t="s">
        <v>6802</v>
      </c>
      <c r="E1356" s="168" t="s">
        <v>2294</v>
      </c>
      <c r="F1356" s="168" t="s">
        <v>4623</v>
      </c>
      <c r="G1356" s="168" t="s">
        <v>4623</v>
      </c>
      <c r="H1356" s="292" t="s">
        <v>4623</v>
      </c>
      <c r="I1356" s="293" t="s">
        <v>4623</v>
      </c>
      <c r="J1356" s="293" t="s">
        <v>4623</v>
      </c>
      <c r="K1356" s="290" t="s">
        <v>4623</v>
      </c>
      <c r="L1356" s="290" t="s">
        <v>4623</v>
      </c>
      <c r="M1356" s="290" t="s">
        <v>4623</v>
      </c>
      <c r="N1356" s="290" t="s">
        <v>4623</v>
      </c>
      <c r="O1356" s="290" t="s">
        <v>4623</v>
      </c>
      <c r="P1356" s="290" t="s">
        <v>999</v>
      </c>
      <c r="Q1356" s="291" t="s">
        <v>4623</v>
      </c>
      <c r="R1356" s="276"/>
      <c r="S1356" s="277">
        <f>IF(OR(C1356="",C1356=T$4),NA(),MATCH($B1356&amp;$C1356,'Smelter Reference List'!$J:$J,0))</f>
        <v>442</v>
      </c>
      <c r="T1356" s="278"/>
      <c r="U1356" s="278"/>
      <c r="V1356" s="278"/>
      <c r="W1356" s="278"/>
    </row>
    <row r="1357" spans="1:23" s="269" customFormat="1" ht="20.25">
      <c r="A1357" s="267"/>
      <c r="B1357" s="275" t="s">
        <v>2437</v>
      </c>
      <c r="C1357" s="275" t="s">
        <v>3831</v>
      </c>
      <c r="D1357" s="168" t="s">
        <v>6803</v>
      </c>
      <c r="E1357" s="168" t="s">
        <v>2294</v>
      </c>
      <c r="F1357" s="168" t="s">
        <v>4623</v>
      </c>
      <c r="G1357" s="168" t="s">
        <v>4623</v>
      </c>
      <c r="H1357" s="292" t="s">
        <v>4623</v>
      </c>
      <c r="I1357" s="293" t="s">
        <v>4623</v>
      </c>
      <c r="J1357" s="293" t="s">
        <v>4623</v>
      </c>
      <c r="K1357" s="290" t="s">
        <v>4623</v>
      </c>
      <c r="L1357" s="290" t="s">
        <v>4623</v>
      </c>
      <c r="M1357" s="290" t="s">
        <v>4623</v>
      </c>
      <c r="N1357" s="290" t="s">
        <v>4623</v>
      </c>
      <c r="O1357" s="290" t="s">
        <v>4623</v>
      </c>
      <c r="P1357" s="290" t="s">
        <v>999</v>
      </c>
      <c r="Q1357" s="291" t="s">
        <v>4623</v>
      </c>
      <c r="R1357" s="276"/>
      <c r="S1357" s="277">
        <f>IF(OR(C1357="",C1357=T$4),NA(),MATCH($B1357&amp;$C1357,'Smelter Reference List'!$J:$J,0))</f>
        <v>442</v>
      </c>
      <c r="T1357" s="278"/>
      <c r="U1357" s="278"/>
      <c r="V1357" s="278"/>
      <c r="W1357" s="278"/>
    </row>
    <row r="1358" spans="1:23" s="269" customFormat="1" ht="20.25">
      <c r="A1358" s="267"/>
      <c r="B1358" s="275" t="s">
        <v>2437</v>
      </c>
      <c r="C1358" s="275" t="s">
        <v>3831</v>
      </c>
      <c r="D1358" s="168" t="s">
        <v>6804</v>
      </c>
      <c r="E1358" s="168" t="s">
        <v>2294</v>
      </c>
      <c r="F1358" s="168" t="s">
        <v>4623</v>
      </c>
      <c r="G1358" s="168" t="s">
        <v>4623</v>
      </c>
      <c r="H1358" s="292" t="s">
        <v>4623</v>
      </c>
      <c r="I1358" s="293" t="s">
        <v>4623</v>
      </c>
      <c r="J1358" s="293" t="s">
        <v>4623</v>
      </c>
      <c r="K1358" s="290" t="s">
        <v>4623</v>
      </c>
      <c r="L1358" s="290" t="s">
        <v>4623</v>
      </c>
      <c r="M1358" s="290" t="s">
        <v>4623</v>
      </c>
      <c r="N1358" s="290" t="s">
        <v>4623</v>
      </c>
      <c r="O1358" s="290" t="s">
        <v>4623</v>
      </c>
      <c r="P1358" s="290" t="s">
        <v>999</v>
      </c>
      <c r="Q1358" s="291" t="s">
        <v>4623</v>
      </c>
      <c r="R1358" s="276"/>
      <c r="S1358" s="277">
        <f>IF(OR(C1358="",C1358=T$4),NA(),MATCH($B1358&amp;$C1358,'Smelter Reference List'!$J:$J,0))</f>
        <v>442</v>
      </c>
      <c r="T1358" s="278"/>
      <c r="U1358" s="278"/>
      <c r="V1358" s="278"/>
      <c r="W1358" s="278"/>
    </row>
    <row r="1359" spans="1:23" s="269" customFormat="1" ht="20.25">
      <c r="A1359" s="267"/>
      <c r="B1359" s="275" t="s">
        <v>2437</v>
      </c>
      <c r="C1359" s="275" t="s">
        <v>3831</v>
      </c>
      <c r="D1359" s="168" t="s">
        <v>6805</v>
      </c>
      <c r="E1359" s="168" t="s">
        <v>2294</v>
      </c>
      <c r="F1359" s="168" t="s">
        <v>4623</v>
      </c>
      <c r="G1359" s="168" t="s">
        <v>4623</v>
      </c>
      <c r="H1359" s="292" t="s">
        <v>4623</v>
      </c>
      <c r="I1359" s="293" t="s">
        <v>4623</v>
      </c>
      <c r="J1359" s="293" t="s">
        <v>4623</v>
      </c>
      <c r="K1359" s="290" t="s">
        <v>4623</v>
      </c>
      <c r="L1359" s="290" t="s">
        <v>4623</v>
      </c>
      <c r="M1359" s="290" t="s">
        <v>4623</v>
      </c>
      <c r="N1359" s="290" t="s">
        <v>4623</v>
      </c>
      <c r="O1359" s="290" t="s">
        <v>4623</v>
      </c>
      <c r="P1359" s="290" t="s">
        <v>999</v>
      </c>
      <c r="Q1359" s="291" t="s">
        <v>4623</v>
      </c>
      <c r="R1359" s="276"/>
      <c r="S1359" s="277">
        <f>IF(OR(C1359="",C1359=T$4),NA(),MATCH($B1359&amp;$C1359,'Smelter Reference List'!$J:$J,0))</f>
        <v>442</v>
      </c>
      <c r="T1359" s="278"/>
      <c r="U1359" s="278"/>
      <c r="V1359" s="278"/>
      <c r="W1359" s="278"/>
    </row>
    <row r="1360" spans="1:23" s="269" customFormat="1" ht="20.25">
      <c r="A1360" s="267"/>
      <c r="B1360" s="275" t="s">
        <v>2437</v>
      </c>
      <c r="C1360" s="275" t="s">
        <v>3831</v>
      </c>
      <c r="D1360" s="168" t="s">
        <v>6806</v>
      </c>
      <c r="E1360" s="168" t="s">
        <v>2294</v>
      </c>
      <c r="F1360" s="168" t="s">
        <v>4623</v>
      </c>
      <c r="G1360" s="168" t="s">
        <v>4623</v>
      </c>
      <c r="H1360" s="292" t="s">
        <v>4623</v>
      </c>
      <c r="I1360" s="293" t="s">
        <v>4623</v>
      </c>
      <c r="J1360" s="293" t="s">
        <v>4623</v>
      </c>
      <c r="K1360" s="290" t="s">
        <v>4623</v>
      </c>
      <c r="L1360" s="290" t="s">
        <v>4623</v>
      </c>
      <c r="M1360" s="290" t="s">
        <v>4623</v>
      </c>
      <c r="N1360" s="290" t="s">
        <v>4623</v>
      </c>
      <c r="O1360" s="290" t="s">
        <v>4623</v>
      </c>
      <c r="P1360" s="290" t="s">
        <v>999</v>
      </c>
      <c r="Q1360" s="291" t="s">
        <v>4623</v>
      </c>
      <c r="R1360" s="276"/>
      <c r="S1360" s="277">
        <f>IF(OR(C1360="",C1360=T$4),NA(),MATCH($B1360&amp;$C1360,'Smelter Reference List'!$J:$J,0))</f>
        <v>442</v>
      </c>
      <c r="T1360" s="278"/>
      <c r="U1360" s="278"/>
      <c r="V1360" s="278"/>
      <c r="W1360" s="278"/>
    </row>
    <row r="1361" spans="1:23" s="269" customFormat="1" ht="20.25">
      <c r="A1361" s="267"/>
      <c r="B1361" s="275" t="s">
        <v>2437</v>
      </c>
      <c r="C1361" s="275" t="s">
        <v>3831</v>
      </c>
      <c r="D1361" s="168" t="s">
        <v>6807</v>
      </c>
      <c r="E1361" s="168" t="s">
        <v>2294</v>
      </c>
      <c r="F1361" s="168" t="s">
        <v>4623</v>
      </c>
      <c r="G1361" s="168" t="s">
        <v>4623</v>
      </c>
      <c r="H1361" s="292" t="s">
        <v>4623</v>
      </c>
      <c r="I1361" s="293" t="s">
        <v>4623</v>
      </c>
      <c r="J1361" s="293" t="s">
        <v>4623</v>
      </c>
      <c r="K1361" s="290" t="s">
        <v>4623</v>
      </c>
      <c r="L1361" s="290" t="s">
        <v>4623</v>
      </c>
      <c r="M1361" s="290" t="s">
        <v>4623</v>
      </c>
      <c r="N1361" s="290" t="s">
        <v>4623</v>
      </c>
      <c r="O1361" s="290" t="s">
        <v>4623</v>
      </c>
      <c r="P1361" s="290" t="s">
        <v>999</v>
      </c>
      <c r="Q1361" s="291" t="s">
        <v>4623</v>
      </c>
      <c r="R1361" s="276"/>
      <c r="S1361" s="277">
        <f>IF(OR(C1361="",C1361=T$4),NA(),MATCH($B1361&amp;$C1361,'Smelter Reference List'!$J:$J,0))</f>
        <v>442</v>
      </c>
      <c r="T1361" s="278"/>
      <c r="U1361" s="278"/>
      <c r="V1361" s="278"/>
      <c r="W1361" s="278"/>
    </row>
    <row r="1362" spans="1:23" s="269" customFormat="1" ht="20.25">
      <c r="A1362" s="267"/>
      <c r="B1362" s="275" t="s">
        <v>2437</v>
      </c>
      <c r="C1362" s="275" t="s">
        <v>3831</v>
      </c>
      <c r="D1362" s="168" t="s">
        <v>6808</v>
      </c>
      <c r="E1362" s="168" t="s">
        <v>2294</v>
      </c>
      <c r="F1362" s="168" t="s">
        <v>4623</v>
      </c>
      <c r="G1362" s="168" t="s">
        <v>4623</v>
      </c>
      <c r="H1362" s="292" t="s">
        <v>4623</v>
      </c>
      <c r="I1362" s="293" t="s">
        <v>4623</v>
      </c>
      <c r="J1362" s="293" t="s">
        <v>4623</v>
      </c>
      <c r="K1362" s="290" t="s">
        <v>4623</v>
      </c>
      <c r="L1362" s="290" t="s">
        <v>4623</v>
      </c>
      <c r="M1362" s="290" t="s">
        <v>4623</v>
      </c>
      <c r="N1362" s="290" t="s">
        <v>4623</v>
      </c>
      <c r="O1362" s="290" t="s">
        <v>4623</v>
      </c>
      <c r="P1362" s="290" t="s">
        <v>999</v>
      </c>
      <c r="Q1362" s="291" t="s">
        <v>4623</v>
      </c>
      <c r="R1362" s="276"/>
      <c r="S1362" s="277">
        <f>IF(OR(C1362="",C1362=T$4),NA(),MATCH($B1362&amp;$C1362,'Smelter Reference List'!$J:$J,0))</f>
        <v>442</v>
      </c>
      <c r="T1362" s="278"/>
      <c r="U1362" s="278"/>
      <c r="V1362" s="278"/>
      <c r="W1362" s="278"/>
    </row>
    <row r="1363" spans="1:23" s="269" customFormat="1" ht="20.25">
      <c r="A1363" s="267"/>
      <c r="B1363" s="275" t="s">
        <v>2437</v>
      </c>
      <c r="C1363" s="275" t="s">
        <v>3831</v>
      </c>
      <c r="D1363" s="168" t="s">
        <v>6809</v>
      </c>
      <c r="E1363" s="168" t="s">
        <v>2294</v>
      </c>
      <c r="F1363" s="168" t="s">
        <v>4623</v>
      </c>
      <c r="G1363" s="168" t="s">
        <v>4623</v>
      </c>
      <c r="H1363" s="292" t="s">
        <v>4623</v>
      </c>
      <c r="I1363" s="293" t="s">
        <v>4623</v>
      </c>
      <c r="J1363" s="293" t="s">
        <v>4623</v>
      </c>
      <c r="K1363" s="290" t="s">
        <v>4623</v>
      </c>
      <c r="L1363" s="290" t="s">
        <v>4623</v>
      </c>
      <c r="M1363" s="290" t="s">
        <v>4623</v>
      </c>
      <c r="N1363" s="290" t="s">
        <v>4623</v>
      </c>
      <c r="O1363" s="290" t="s">
        <v>4623</v>
      </c>
      <c r="P1363" s="290" t="s">
        <v>999</v>
      </c>
      <c r="Q1363" s="291" t="s">
        <v>4623</v>
      </c>
      <c r="R1363" s="276"/>
      <c r="S1363" s="277">
        <f>IF(OR(C1363="",C1363=T$4),NA(),MATCH($B1363&amp;$C1363,'Smelter Reference List'!$J:$J,0))</f>
        <v>442</v>
      </c>
      <c r="T1363" s="278"/>
      <c r="U1363" s="278"/>
      <c r="V1363" s="278"/>
      <c r="W1363" s="278"/>
    </row>
    <row r="1364" spans="1:23" s="269" customFormat="1" ht="20.25">
      <c r="A1364" s="267"/>
      <c r="B1364" s="275" t="s">
        <v>2437</v>
      </c>
      <c r="C1364" s="275" t="s">
        <v>3831</v>
      </c>
      <c r="D1364" s="168" t="s">
        <v>6810</v>
      </c>
      <c r="E1364" s="168" t="s">
        <v>2294</v>
      </c>
      <c r="F1364" s="168" t="s">
        <v>4623</v>
      </c>
      <c r="G1364" s="168" t="s">
        <v>4623</v>
      </c>
      <c r="H1364" s="292" t="s">
        <v>4623</v>
      </c>
      <c r="I1364" s="293" t="s">
        <v>4623</v>
      </c>
      <c r="J1364" s="293" t="s">
        <v>4623</v>
      </c>
      <c r="K1364" s="290" t="s">
        <v>4623</v>
      </c>
      <c r="L1364" s="290" t="s">
        <v>4623</v>
      </c>
      <c r="M1364" s="290" t="s">
        <v>4623</v>
      </c>
      <c r="N1364" s="290" t="s">
        <v>4623</v>
      </c>
      <c r="O1364" s="290" t="s">
        <v>4623</v>
      </c>
      <c r="P1364" s="290" t="s">
        <v>999</v>
      </c>
      <c r="Q1364" s="291" t="s">
        <v>4623</v>
      </c>
      <c r="R1364" s="276"/>
      <c r="S1364" s="277">
        <f>IF(OR(C1364="",C1364=T$4),NA(),MATCH($B1364&amp;$C1364,'Smelter Reference List'!$J:$J,0))</f>
        <v>442</v>
      </c>
      <c r="T1364" s="278"/>
      <c r="U1364" s="278"/>
      <c r="V1364" s="278"/>
      <c r="W1364" s="278"/>
    </row>
    <row r="1365" spans="1:23" s="269" customFormat="1" ht="20.25">
      <c r="A1365" s="267"/>
      <c r="B1365" s="275" t="s">
        <v>2437</v>
      </c>
      <c r="C1365" s="275" t="s">
        <v>3831</v>
      </c>
      <c r="D1365" s="168" t="s">
        <v>5233</v>
      </c>
      <c r="E1365" s="168" t="s">
        <v>2294</v>
      </c>
      <c r="F1365" s="168" t="s">
        <v>4623</v>
      </c>
      <c r="G1365" s="168" t="s">
        <v>4623</v>
      </c>
      <c r="H1365" s="292" t="s">
        <v>4623</v>
      </c>
      <c r="I1365" s="293" t="s">
        <v>4623</v>
      </c>
      <c r="J1365" s="293" t="s">
        <v>4623</v>
      </c>
      <c r="K1365" s="290" t="s">
        <v>4623</v>
      </c>
      <c r="L1365" s="290" t="s">
        <v>4623</v>
      </c>
      <c r="M1365" s="290" t="s">
        <v>4623</v>
      </c>
      <c r="N1365" s="290" t="s">
        <v>4623</v>
      </c>
      <c r="O1365" s="290" t="s">
        <v>4623</v>
      </c>
      <c r="P1365" s="290" t="s">
        <v>999</v>
      </c>
      <c r="Q1365" s="291" t="s">
        <v>4623</v>
      </c>
      <c r="R1365" s="276"/>
      <c r="S1365" s="277">
        <f>IF(OR(C1365="",C1365=T$4),NA(),MATCH($B1365&amp;$C1365,'Smelter Reference List'!$J:$J,0))</f>
        <v>442</v>
      </c>
      <c r="T1365" s="278"/>
      <c r="U1365" s="278"/>
      <c r="V1365" s="278"/>
      <c r="W1365" s="278"/>
    </row>
    <row r="1366" spans="1:23" s="269" customFormat="1" ht="20.25">
      <c r="A1366" s="267"/>
      <c r="B1366" s="275" t="s">
        <v>2437</v>
      </c>
      <c r="C1366" s="275" t="s">
        <v>3831</v>
      </c>
      <c r="D1366" s="168" t="s">
        <v>6811</v>
      </c>
      <c r="E1366" s="168" t="s">
        <v>2294</v>
      </c>
      <c r="F1366" s="168" t="s">
        <v>4623</v>
      </c>
      <c r="G1366" s="168" t="s">
        <v>4623</v>
      </c>
      <c r="H1366" s="292" t="s">
        <v>4623</v>
      </c>
      <c r="I1366" s="293" t="s">
        <v>4623</v>
      </c>
      <c r="J1366" s="293" t="s">
        <v>4623</v>
      </c>
      <c r="K1366" s="290" t="s">
        <v>4623</v>
      </c>
      <c r="L1366" s="290" t="s">
        <v>4623</v>
      </c>
      <c r="M1366" s="290" t="s">
        <v>4623</v>
      </c>
      <c r="N1366" s="290" t="s">
        <v>4623</v>
      </c>
      <c r="O1366" s="290" t="s">
        <v>4623</v>
      </c>
      <c r="P1366" s="290" t="s">
        <v>999</v>
      </c>
      <c r="Q1366" s="291" t="s">
        <v>4623</v>
      </c>
      <c r="R1366" s="276"/>
      <c r="S1366" s="277">
        <f>IF(OR(C1366="",C1366=T$4),NA(),MATCH($B1366&amp;$C1366,'Smelter Reference List'!$J:$J,0))</f>
        <v>442</v>
      </c>
      <c r="T1366" s="278"/>
      <c r="U1366" s="278"/>
      <c r="V1366" s="278"/>
      <c r="W1366" s="278"/>
    </row>
    <row r="1367" spans="1:23" s="269" customFormat="1" ht="20.25">
      <c r="A1367" s="267"/>
      <c r="B1367" s="275" t="s">
        <v>2437</v>
      </c>
      <c r="C1367" s="275" t="s">
        <v>3831</v>
      </c>
      <c r="D1367" s="168" t="s">
        <v>6812</v>
      </c>
      <c r="E1367" s="168" t="s">
        <v>2294</v>
      </c>
      <c r="F1367" s="168" t="s">
        <v>4623</v>
      </c>
      <c r="G1367" s="168" t="s">
        <v>4623</v>
      </c>
      <c r="H1367" s="292" t="s">
        <v>6813</v>
      </c>
      <c r="I1367" s="293" t="s">
        <v>3687</v>
      </c>
      <c r="J1367" s="293" t="s">
        <v>3408</v>
      </c>
      <c r="K1367" s="290" t="s">
        <v>6814</v>
      </c>
      <c r="L1367" s="290" t="s">
        <v>6815</v>
      </c>
      <c r="M1367" s="290" t="s">
        <v>4623</v>
      </c>
      <c r="N1367" s="290" t="s">
        <v>4623</v>
      </c>
      <c r="O1367" s="290" t="s">
        <v>4623</v>
      </c>
      <c r="P1367" s="290" t="s">
        <v>999</v>
      </c>
      <c r="Q1367" s="291" t="s">
        <v>4623</v>
      </c>
      <c r="R1367" s="276"/>
      <c r="S1367" s="277">
        <f>IF(OR(C1367="",C1367=T$4),NA(),MATCH($B1367&amp;$C1367,'Smelter Reference List'!$J:$J,0))</f>
        <v>442</v>
      </c>
      <c r="T1367" s="278"/>
      <c r="U1367" s="278"/>
      <c r="V1367" s="278"/>
      <c r="W1367" s="278"/>
    </row>
    <row r="1368" spans="1:23" s="269" customFormat="1" ht="20.25">
      <c r="A1368" s="267"/>
      <c r="B1368" s="275" t="s">
        <v>2437</v>
      </c>
      <c r="C1368" s="275" t="s">
        <v>3831</v>
      </c>
      <c r="D1368" s="168" t="s">
        <v>6816</v>
      </c>
      <c r="E1368" s="168" t="s">
        <v>2294</v>
      </c>
      <c r="F1368" s="168" t="s">
        <v>4623</v>
      </c>
      <c r="G1368" s="168" t="s">
        <v>4623</v>
      </c>
      <c r="H1368" s="292" t="s">
        <v>4623</v>
      </c>
      <c r="I1368" s="293" t="s">
        <v>4623</v>
      </c>
      <c r="J1368" s="293" t="s">
        <v>4623</v>
      </c>
      <c r="K1368" s="290" t="s">
        <v>4623</v>
      </c>
      <c r="L1368" s="290" t="s">
        <v>4623</v>
      </c>
      <c r="M1368" s="290" t="s">
        <v>4623</v>
      </c>
      <c r="N1368" s="290" t="s">
        <v>4623</v>
      </c>
      <c r="O1368" s="290" t="s">
        <v>4623</v>
      </c>
      <c r="P1368" s="290" t="s">
        <v>999</v>
      </c>
      <c r="Q1368" s="291" t="s">
        <v>4623</v>
      </c>
      <c r="R1368" s="276"/>
      <c r="S1368" s="277">
        <f>IF(OR(C1368="",C1368=T$4),NA(),MATCH($B1368&amp;$C1368,'Smelter Reference List'!$J:$J,0))</f>
        <v>442</v>
      </c>
      <c r="T1368" s="278"/>
      <c r="U1368" s="278"/>
      <c r="V1368" s="278"/>
      <c r="W1368" s="278"/>
    </row>
    <row r="1369" spans="1:23" s="269" customFormat="1" ht="20.25">
      <c r="A1369" s="267"/>
      <c r="B1369" s="275" t="s">
        <v>2437</v>
      </c>
      <c r="C1369" s="275" t="s">
        <v>3831</v>
      </c>
      <c r="D1369" s="168" t="s">
        <v>6817</v>
      </c>
      <c r="E1369" s="168" t="s">
        <v>2294</v>
      </c>
      <c r="F1369" s="168" t="s">
        <v>4623</v>
      </c>
      <c r="G1369" s="168" t="s">
        <v>4623</v>
      </c>
      <c r="H1369" s="292" t="s">
        <v>6818</v>
      </c>
      <c r="I1369" s="293" t="s">
        <v>6819</v>
      </c>
      <c r="J1369" s="293" t="s">
        <v>6820</v>
      </c>
      <c r="K1369" s="290" t="s">
        <v>6821</v>
      </c>
      <c r="L1369" s="290" t="s">
        <v>6822</v>
      </c>
      <c r="M1369" s="290" t="s">
        <v>4623</v>
      </c>
      <c r="N1369" s="290" t="s">
        <v>4623</v>
      </c>
      <c r="O1369" s="290" t="s">
        <v>4623</v>
      </c>
      <c r="P1369" s="290" t="s">
        <v>999</v>
      </c>
      <c r="Q1369" s="291" t="s">
        <v>4623</v>
      </c>
      <c r="R1369" s="276"/>
      <c r="S1369" s="277">
        <f>IF(OR(C1369="",C1369=T$4),NA(),MATCH($B1369&amp;$C1369,'Smelter Reference List'!$J:$J,0))</f>
        <v>442</v>
      </c>
      <c r="T1369" s="278"/>
      <c r="U1369" s="278"/>
      <c r="V1369" s="278"/>
      <c r="W1369" s="278"/>
    </row>
    <row r="1370" spans="1:23" s="269" customFormat="1" ht="20.25">
      <c r="A1370" s="267"/>
      <c r="B1370" s="275" t="s">
        <v>2437</v>
      </c>
      <c r="C1370" s="275" t="s">
        <v>3831</v>
      </c>
      <c r="D1370" s="168" t="s">
        <v>6823</v>
      </c>
      <c r="E1370" s="168" t="s">
        <v>2294</v>
      </c>
      <c r="F1370" s="168" t="s">
        <v>4623</v>
      </c>
      <c r="G1370" s="168" t="s">
        <v>4623</v>
      </c>
      <c r="H1370" s="292" t="s">
        <v>4623</v>
      </c>
      <c r="I1370" s="293" t="s">
        <v>4623</v>
      </c>
      <c r="J1370" s="293" t="s">
        <v>4623</v>
      </c>
      <c r="K1370" s="290" t="s">
        <v>4623</v>
      </c>
      <c r="L1370" s="290" t="s">
        <v>4623</v>
      </c>
      <c r="M1370" s="290" t="s">
        <v>4623</v>
      </c>
      <c r="N1370" s="290" t="s">
        <v>4623</v>
      </c>
      <c r="O1370" s="290" t="s">
        <v>4623</v>
      </c>
      <c r="P1370" s="290" t="s">
        <v>999</v>
      </c>
      <c r="Q1370" s="291" t="s">
        <v>4623</v>
      </c>
      <c r="R1370" s="276"/>
      <c r="S1370" s="277">
        <f>IF(OR(C1370="",C1370=T$4),NA(),MATCH($B1370&amp;$C1370,'Smelter Reference List'!$J:$J,0))</f>
        <v>442</v>
      </c>
      <c r="T1370" s="278"/>
      <c r="U1370" s="278"/>
      <c r="V1370" s="278"/>
      <c r="W1370" s="278"/>
    </row>
    <row r="1371" spans="1:23" s="269" customFormat="1" ht="20.25">
      <c r="A1371" s="267"/>
      <c r="B1371" s="275" t="s">
        <v>2437</v>
      </c>
      <c r="C1371" s="275" t="s">
        <v>3831</v>
      </c>
      <c r="D1371" s="168" t="s">
        <v>6824</v>
      </c>
      <c r="E1371" s="168" t="s">
        <v>2294</v>
      </c>
      <c r="F1371" s="168" t="s">
        <v>4623</v>
      </c>
      <c r="G1371" s="168" t="s">
        <v>4623</v>
      </c>
      <c r="H1371" s="292" t="s">
        <v>4623</v>
      </c>
      <c r="I1371" s="293" t="s">
        <v>4623</v>
      </c>
      <c r="J1371" s="293" t="s">
        <v>4623</v>
      </c>
      <c r="K1371" s="290" t="s">
        <v>4623</v>
      </c>
      <c r="L1371" s="290" t="s">
        <v>4623</v>
      </c>
      <c r="M1371" s="290" t="s">
        <v>4623</v>
      </c>
      <c r="N1371" s="290" t="s">
        <v>4623</v>
      </c>
      <c r="O1371" s="290" t="s">
        <v>4623</v>
      </c>
      <c r="P1371" s="290" t="s">
        <v>999</v>
      </c>
      <c r="Q1371" s="291" t="s">
        <v>4623</v>
      </c>
      <c r="R1371" s="276"/>
      <c r="S1371" s="277">
        <f>IF(OR(C1371="",C1371=T$4),NA(),MATCH($B1371&amp;$C1371,'Smelter Reference List'!$J:$J,0))</f>
        <v>442</v>
      </c>
      <c r="T1371" s="278"/>
      <c r="U1371" s="278"/>
      <c r="V1371" s="278"/>
      <c r="W1371" s="278"/>
    </row>
    <row r="1372" spans="1:23" s="269" customFormat="1" ht="20.25">
      <c r="A1372" s="267"/>
      <c r="B1372" s="275" t="s">
        <v>2437</v>
      </c>
      <c r="C1372" s="275" t="s">
        <v>3831</v>
      </c>
      <c r="D1372" s="168" t="s">
        <v>6825</v>
      </c>
      <c r="E1372" s="168" t="s">
        <v>2294</v>
      </c>
      <c r="F1372" s="168" t="s">
        <v>4623</v>
      </c>
      <c r="G1372" s="168" t="s">
        <v>4623</v>
      </c>
      <c r="H1372" s="292" t="s">
        <v>4623</v>
      </c>
      <c r="I1372" s="293" t="s">
        <v>4623</v>
      </c>
      <c r="J1372" s="293" t="s">
        <v>4623</v>
      </c>
      <c r="K1372" s="290" t="s">
        <v>4623</v>
      </c>
      <c r="L1372" s="290" t="s">
        <v>4623</v>
      </c>
      <c r="M1372" s="290" t="s">
        <v>4623</v>
      </c>
      <c r="N1372" s="290" t="s">
        <v>4623</v>
      </c>
      <c r="O1372" s="290" t="s">
        <v>4623</v>
      </c>
      <c r="P1372" s="290" t="s">
        <v>999</v>
      </c>
      <c r="Q1372" s="291" t="s">
        <v>4623</v>
      </c>
      <c r="R1372" s="276"/>
      <c r="S1372" s="277">
        <f>IF(OR(C1372="",C1372=T$4),NA(),MATCH($B1372&amp;$C1372,'Smelter Reference List'!$J:$J,0))</f>
        <v>442</v>
      </c>
      <c r="T1372" s="278"/>
      <c r="U1372" s="278"/>
      <c r="V1372" s="278"/>
      <c r="W1372" s="278"/>
    </row>
    <row r="1373" spans="1:23" s="269" customFormat="1" ht="20.25">
      <c r="A1373" s="267"/>
      <c r="B1373" s="275" t="s">
        <v>2437</v>
      </c>
      <c r="C1373" s="275" t="s">
        <v>3831</v>
      </c>
      <c r="D1373" s="168" t="s">
        <v>6826</v>
      </c>
      <c r="E1373" s="168" t="s">
        <v>2294</v>
      </c>
      <c r="F1373" s="168" t="s">
        <v>4623</v>
      </c>
      <c r="G1373" s="168" t="s">
        <v>4623</v>
      </c>
      <c r="H1373" s="292" t="s">
        <v>4623</v>
      </c>
      <c r="I1373" s="293" t="s">
        <v>4623</v>
      </c>
      <c r="J1373" s="293" t="s">
        <v>4623</v>
      </c>
      <c r="K1373" s="290" t="s">
        <v>4623</v>
      </c>
      <c r="L1373" s="290" t="s">
        <v>4623</v>
      </c>
      <c r="M1373" s="290" t="s">
        <v>4623</v>
      </c>
      <c r="N1373" s="290" t="s">
        <v>4623</v>
      </c>
      <c r="O1373" s="290" t="s">
        <v>4623</v>
      </c>
      <c r="P1373" s="290" t="s">
        <v>999</v>
      </c>
      <c r="Q1373" s="291" t="s">
        <v>4623</v>
      </c>
      <c r="R1373" s="276"/>
      <c r="S1373" s="277">
        <f>IF(OR(C1373="",C1373=T$4),NA(),MATCH($B1373&amp;$C1373,'Smelter Reference List'!$J:$J,0))</f>
        <v>442</v>
      </c>
      <c r="T1373" s="278"/>
      <c r="U1373" s="278"/>
      <c r="V1373" s="278"/>
      <c r="W1373" s="278"/>
    </row>
    <row r="1374" spans="1:23" s="269" customFormat="1" ht="20.25">
      <c r="A1374" s="267"/>
      <c r="B1374" s="275" t="s">
        <v>2437</v>
      </c>
      <c r="C1374" s="275" t="s">
        <v>3831</v>
      </c>
      <c r="D1374" s="168" t="s">
        <v>6827</v>
      </c>
      <c r="E1374" s="168" t="s">
        <v>2294</v>
      </c>
      <c r="F1374" s="168" t="s">
        <v>4623</v>
      </c>
      <c r="G1374" s="168" t="s">
        <v>4623</v>
      </c>
      <c r="H1374" s="292" t="s">
        <v>4623</v>
      </c>
      <c r="I1374" s="293" t="s">
        <v>4623</v>
      </c>
      <c r="J1374" s="293" t="s">
        <v>4623</v>
      </c>
      <c r="K1374" s="290" t="s">
        <v>4623</v>
      </c>
      <c r="L1374" s="290" t="s">
        <v>4623</v>
      </c>
      <c r="M1374" s="290" t="s">
        <v>4623</v>
      </c>
      <c r="N1374" s="290" t="s">
        <v>4623</v>
      </c>
      <c r="O1374" s="290" t="s">
        <v>4623</v>
      </c>
      <c r="P1374" s="290" t="s">
        <v>999</v>
      </c>
      <c r="Q1374" s="291" t="s">
        <v>4623</v>
      </c>
      <c r="R1374" s="276"/>
      <c r="S1374" s="277">
        <f>IF(OR(C1374="",C1374=T$4),NA(),MATCH($B1374&amp;$C1374,'Smelter Reference List'!$J:$J,0))</f>
        <v>442</v>
      </c>
      <c r="T1374" s="278"/>
      <c r="U1374" s="278"/>
      <c r="V1374" s="278"/>
      <c r="W1374" s="278"/>
    </row>
    <row r="1375" spans="1:23" s="269" customFormat="1" ht="20.25">
      <c r="A1375" s="267"/>
      <c r="B1375" s="275" t="s">
        <v>2437</v>
      </c>
      <c r="C1375" s="275" t="s">
        <v>3831</v>
      </c>
      <c r="D1375" s="168" t="s">
        <v>6828</v>
      </c>
      <c r="E1375" s="168" t="s">
        <v>2294</v>
      </c>
      <c r="F1375" s="168" t="s">
        <v>4623</v>
      </c>
      <c r="G1375" s="168" t="s">
        <v>4623</v>
      </c>
      <c r="H1375" s="292" t="s">
        <v>4623</v>
      </c>
      <c r="I1375" s="293" t="s">
        <v>4623</v>
      </c>
      <c r="J1375" s="293" t="s">
        <v>4623</v>
      </c>
      <c r="K1375" s="290" t="s">
        <v>4623</v>
      </c>
      <c r="L1375" s="290" t="s">
        <v>4623</v>
      </c>
      <c r="M1375" s="290" t="s">
        <v>6377</v>
      </c>
      <c r="N1375" s="290" t="s">
        <v>5000</v>
      </c>
      <c r="O1375" s="290" t="s">
        <v>5000</v>
      </c>
      <c r="P1375" s="290" t="s">
        <v>999</v>
      </c>
      <c r="Q1375" s="291" t="s">
        <v>4623</v>
      </c>
      <c r="R1375" s="276"/>
      <c r="S1375" s="277">
        <f>IF(OR(C1375="",C1375=T$4),NA(),MATCH($B1375&amp;$C1375,'Smelter Reference List'!$J:$J,0))</f>
        <v>442</v>
      </c>
      <c r="T1375" s="278"/>
      <c r="U1375" s="278"/>
      <c r="V1375" s="278"/>
      <c r="W1375" s="278"/>
    </row>
    <row r="1376" spans="1:23" s="269" customFormat="1" ht="20.25">
      <c r="A1376" s="267"/>
      <c r="B1376" s="275" t="s">
        <v>2437</v>
      </c>
      <c r="C1376" s="275" t="s">
        <v>3831</v>
      </c>
      <c r="D1376" s="168" t="s">
        <v>6403</v>
      </c>
      <c r="E1376" s="168" t="s">
        <v>2294</v>
      </c>
      <c r="F1376" s="168" t="s">
        <v>4623</v>
      </c>
      <c r="G1376" s="168" t="s">
        <v>4623</v>
      </c>
      <c r="H1376" s="292" t="s">
        <v>4623</v>
      </c>
      <c r="I1376" s="293" t="s">
        <v>4623</v>
      </c>
      <c r="J1376" s="293" t="s">
        <v>4623</v>
      </c>
      <c r="K1376" s="290" t="s">
        <v>4623</v>
      </c>
      <c r="L1376" s="290" t="s">
        <v>4623</v>
      </c>
      <c r="M1376" s="290" t="s">
        <v>4623</v>
      </c>
      <c r="N1376" s="290" t="s">
        <v>4623</v>
      </c>
      <c r="O1376" s="290" t="s">
        <v>4623</v>
      </c>
      <c r="P1376" s="290" t="s">
        <v>999</v>
      </c>
      <c r="Q1376" s="291" t="s">
        <v>4623</v>
      </c>
      <c r="R1376" s="276"/>
      <c r="S1376" s="277">
        <f>IF(OR(C1376="",C1376=T$4),NA(),MATCH($B1376&amp;$C1376,'Smelter Reference List'!$J:$J,0))</f>
        <v>442</v>
      </c>
      <c r="T1376" s="278"/>
      <c r="U1376" s="278"/>
      <c r="V1376" s="278"/>
      <c r="W1376" s="278"/>
    </row>
    <row r="1377" spans="1:23" s="269" customFormat="1" ht="20.25">
      <c r="A1377" s="267"/>
      <c r="B1377" s="275" t="s">
        <v>2437</v>
      </c>
      <c r="C1377" s="275" t="s">
        <v>3831</v>
      </c>
      <c r="D1377" s="168" t="s">
        <v>6829</v>
      </c>
      <c r="E1377" s="168" t="s">
        <v>2294</v>
      </c>
      <c r="F1377" s="168" t="s">
        <v>4623</v>
      </c>
      <c r="G1377" s="168" t="s">
        <v>4623</v>
      </c>
      <c r="H1377" s="292" t="s">
        <v>4623</v>
      </c>
      <c r="I1377" s="293" t="s">
        <v>4623</v>
      </c>
      <c r="J1377" s="293" t="s">
        <v>4623</v>
      </c>
      <c r="K1377" s="290" t="s">
        <v>4623</v>
      </c>
      <c r="L1377" s="290" t="s">
        <v>4623</v>
      </c>
      <c r="M1377" s="290" t="s">
        <v>4623</v>
      </c>
      <c r="N1377" s="290" t="s">
        <v>4623</v>
      </c>
      <c r="O1377" s="290" t="s">
        <v>4623</v>
      </c>
      <c r="P1377" s="290" t="s">
        <v>999</v>
      </c>
      <c r="Q1377" s="291" t="s">
        <v>4623</v>
      </c>
      <c r="R1377" s="276"/>
      <c r="S1377" s="277">
        <f>IF(OR(C1377="",C1377=T$4),NA(),MATCH($B1377&amp;$C1377,'Smelter Reference List'!$J:$J,0))</f>
        <v>442</v>
      </c>
      <c r="T1377" s="278"/>
      <c r="U1377" s="278"/>
      <c r="V1377" s="278"/>
      <c r="W1377" s="278"/>
    </row>
    <row r="1378" spans="1:23" s="269" customFormat="1" ht="20.25">
      <c r="A1378" s="267"/>
      <c r="B1378" s="275" t="s">
        <v>2437</v>
      </c>
      <c r="C1378" s="275" t="s">
        <v>3831</v>
      </c>
      <c r="D1378" s="168" t="s">
        <v>6830</v>
      </c>
      <c r="E1378" s="168" t="s">
        <v>2294</v>
      </c>
      <c r="F1378" s="168" t="s">
        <v>4623</v>
      </c>
      <c r="G1378" s="168" t="s">
        <v>4623</v>
      </c>
      <c r="H1378" s="292" t="s">
        <v>4623</v>
      </c>
      <c r="I1378" s="293" t="s">
        <v>4623</v>
      </c>
      <c r="J1378" s="293" t="s">
        <v>4623</v>
      </c>
      <c r="K1378" s="290" t="s">
        <v>4623</v>
      </c>
      <c r="L1378" s="290" t="s">
        <v>4623</v>
      </c>
      <c r="M1378" s="290" t="s">
        <v>6377</v>
      </c>
      <c r="N1378" s="290" t="s">
        <v>5000</v>
      </c>
      <c r="O1378" s="290" t="s">
        <v>5000</v>
      </c>
      <c r="P1378" s="290" t="s">
        <v>999</v>
      </c>
      <c r="Q1378" s="291" t="s">
        <v>4623</v>
      </c>
      <c r="R1378" s="276"/>
      <c r="S1378" s="277">
        <f>IF(OR(C1378="",C1378=T$4),NA(),MATCH($B1378&amp;$C1378,'Smelter Reference List'!$J:$J,0))</f>
        <v>442</v>
      </c>
      <c r="T1378" s="278"/>
      <c r="U1378" s="278"/>
      <c r="V1378" s="278"/>
      <c r="W1378" s="278"/>
    </row>
    <row r="1379" spans="1:23" s="269" customFormat="1" ht="20.25">
      <c r="A1379" s="267"/>
      <c r="B1379" s="275" t="s">
        <v>2437</v>
      </c>
      <c r="C1379" s="275" t="s">
        <v>3831</v>
      </c>
      <c r="D1379" s="168" t="s">
        <v>6831</v>
      </c>
      <c r="E1379" s="168" t="s">
        <v>2294</v>
      </c>
      <c r="F1379" s="168" t="s">
        <v>4623</v>
      </c>
      <c r="G1379" s="168" t="s">
        <v>4623</v>
      </c>
      <c r="H1379" s="292" t="s">
        <v>4623</v>
      </c>
      <c r="I1379" s="293" t="s">
        <v>4623</v>
      </c>
      <c r="J1379" s="293" t="s">
        <v>4623</v>
      </c>
      <c r="K1379" s="290" t="s">
        <v>4623</v>
      </c>
      <c r="L1379" s="290" t="s">
        <v>4623</v>
      </c>
      <c r="M1379" s="290" t="s">
        <v>6377</v>
      </c>
      <c r="N1379" s="290" t="s">
        <v>5000</v>
      </c>
      <c r="O1379" s="290" t="s">
        <v>5000</v>
      </c>
      <c r="P1379" s="290" t="s">
        <v>999</v>
      </c>
      <c r="Q1379" s="291" t="s">
        <v>4623</v>
      </c>
      <c r="R1379" s="276"/>
      <c r="S1379" s="277">
        <f>IF(OR(C1379="",C1379=T$4),NA(),MATCH($B1379&amp;$C1379,'Smelter Reference List'!$J:$J,0))</f>
        <v>442</v>
      </c>
      <c r="T1379" s="278"/>
      <c r="U1379" s="278"/>
      <c r="V1379" s="278"/>
      <c r="W1379" s="278"/>
    </row>
    <row r="1380" spans="1:23" s="269" customFormat="1" ht="20.25">
      <c r="A1380" s="267"/>
      <c r="B1380" s="275" t="s">
        <v>2437</v>
      </c>
      <c r="C1380" s="275" t="s">
        <v>3831</v>
      </c>
      <c r="D1380" s="168" t="s">
        <v>6832</v>
      </c>
      <c r="E1380" s="168" t="s">
        <v>2294</v>
      </c>
      <c r="F1380" s="168" t="s">
        <v>4623</v>
      </c>
      <c r="G1380" s="168" t="s">
        <v>4623</v>
      </c>
      <c r="H1380" s="292" t="s">
        <v>4623</v>
      </c>
      <c r="I1380" s="293" t="s">
        <v>4623</v>
      </c>
      <c r="J1380" s="293" t="s">
        <v>4623</v>
      </c>
      <c r="K1380" s="290" t="s">
        <v>4623</v>
      </c>
      <c r="L1380" s="290" t="s">
        <v>4623</v>
      </c>
      <c r="M1380" s="290" t="s">
        <v>4623</v>
      </c>
      <c r="N1380" s="290" t="s">
        <v>4623</v>
      </c>
      <c r="O1380" s="290" t="s">
        <v>4623</v>
      </c>
      <c r="P1380" s="290" t="s">
        <v>999</v>
      </c>
      <c r="Q1380" s="291" t="s">
        <v>4623</v>
      </c>
      <c r="R1380" s="276"/>
      <c r="S1380" s="277">
        <f>IF(OR(C1380="",C1380=T$4),NA(),MATCH($B1380&amp;$C1380,'Smelter Reference List'!$J:$J,0))</f>
        <v>442</v>
      </c>
      <c r="T1380" s="278"/>
      <c r="U1380" s="278"/>
      <c r="V1380" s="278"/>
      <c r="W1380" s="278"/>
    </row>
    <row r="1381" spans="1:23" s="269" customFormat="1" ht="20.25">
      <c r="A1381" s="267"/>
      <c r="B1381" s="275" t="s">
        <v>2437</v>
      </c>
      <c r="C1381" s="275" t="s">
        <v>3831</v>
      </c>
      <c r="D1381" s="168" t="s">
        <v>6833</v>
      </c>
      <c r="E1381" s="168" t="s">
        <v>2294</v>
      </c>
      <c r="F1381" s="168" t="s">
        <v>4623</v>
      </c>
      <c r="G1381" s="168" t="s">
        <v>4623</v>
      </c>
      <c r="H1381" s="292" t="s">
        <v>4623</v>
      </c>
      <c r="I1381" s="293" t="s">
        <v>5254</v>
      </c>
      <c r="J1381" s="293" t="s">
        <v>5254</v>
      </c>
      <c r="K1381" s="290" t="s">
        <v>4623</v>
      </c>
      <c r="L1381" s="290" t="s">
        <v>4623</v>
      </c>
      <c r="M1381" s="290" t="s">
        <v>4623</v>
      </c>
      <c r="N1381" s="290" t="s">
        <v>4623</v>
      </c>
      <c r="O1381" s="290" t="s">
        <v>4623</v>
      </c>
      <c r="P1381" s="290" t="s">
        <v>999</v>
      </c>
      <c r="Q1381" s="291" t="s">
        <v>4623</v>
      </c>
      <c r="R1381" s="276"/>
      <c r="S1381" s="277">
        <f>IF(OR(C1381="",C1381=T$4),NA(),MATCH($B1381&amp;$C1381,'Smelter Reference List'!$J:$J,0))</f>
        <v>442</v>
      </c>
      <c r="T1381" s="278"/>
      <c r="U1381" s="278"/>
      <c r="V1381" s="278"/>
      <c r="W1381" s="278"/>
    </row>
    <row r="1382" spans="1:23" s="269" customFormat="1" ht="20.25">
      <c r="A1382" s="267"/>
      <c r="B1382" s="275" t="s">
        <v>2437</v>
      </c>
      <c r="C1382" s="275" t="s">
        <v>3831</v>
      </c>
      <c r="D1382" s="168" t="s">
        <v>6834</v>
      </c>
      <c r="E1382" s="168" t="s">
        <v>2294</v>
      </c>
      <c r="F1382" s="168" t="s">
        <v>4623</v>
      </c>
      <c r="G1382" s="168" t="s">
        <v>4623</v>
      </c>
      <c r="H1382" s="292" t="s">
        <v>4623</v>
      </c>
      <c r="I1382" s="293" t="s">
        <v>4623</v>
      </c>
      <c r="J1382" s="293" t="s">
        <v>4623</v>
      </c>
      <c r="K1382" s="290" t="s">
        <v>4623</v>
      </c>
      <c r="L1382" s="290" t="s">
        <v>4623</v>
      </c>
      <c r="M1382" s="290" t="s">
        <v>4623</v>
      </c>
      <c r="N1382" s="290" t="s">
        <v>4623</v>
      </c>
      <c r="O1382" s="290" t="s">
        <v>4623</v>
      </c>
      <c r="P1382" s="290" t="s">
        <v>999</v>
      </c>
      <c r="Q1382" s="291" t="s">
        <v>4623</v>
      </c>
      <c r="R1382" s="276"/>
      <c r="S1382" s="277">
        <f>IF(OR(C1382="",C1382=T$4),NA(),MATCH($B1382&amp;$C1382,'Smelter Reference List'!$J:$J,0))</f>
        <v>442</v>
      </c>
      <c r="T1382" s="278"/>
      <c r="U1382" s="278"/>
      <c r="V1382" s="278"/>
      <c r="W1382" s="278"/>
    </row>
    <row r="1383" spans="1:23" s="269" customFormat="1" ht="20.25">
      <c r="A1383" s="267"/>
      <c r="B1383" s="275" t="s">
        <v>2437</v>
      </c>
      <c r="C1383" s="275" t="s">
        <v>3831</v>
      </c>
      <c r="D1383" s="168" t="s">
        <v>6835</v>
      </c>
      <c r="E1383" s="168" t="s">
        <v>2294</v>
      </c>
      <c r="F1383" s="168" t="s">
        <v>4623</v>
      </c>
      <c r="G1383" s="168" t="s">
        <v>4623</v>
      </c>
      <c r="H1383" s="292" t="s">
        <v>4623</v>
      </c>
      <c r="I1383" s="293" t="s">
        <v>4623</v>
      </c>
      <c r="J1383" s="293" t="s">
        <v>4623</v>
      </c>
      <c r="K1383" s="290" t="s">
        <v>4623</v>
      </c>
      <c r="L1383" s="290" t="s">
        <v>4623</v>
      </c>
      <c r="M1383" s="290" t="s">
        <v>6377</v>
      </c>
      <c r="N1383" s="290" t="s">
        <v>5000</v>
      </c>
      <c r="O1383" s="290" t="s">
        <v>5000</v>
      </c>
      <c r="P1383" s="290" t="s">
        <v>999</v>
      </c>
      <c r="Q1383" s="291" t="s">
        <v>4623</v>
      </c>
      <c r="R1383" s="276"/>
      <c r="S1383" s="277">
        <f>IF(OR(C1383="",C1383=T$4),NA(),MATCH($B1383&amp;$C1383,'Smelter Reference List'!$J:$J,0))</f>
        <v>442</v>
      </c>
      <c r="T1383" s="278"/>
      <c r="U1383" s="278"/>
      <c r="V1383" s="278"/>
      <c r="W1383" s="278"/>
    </row>
    <row r="1384" spans="1:23" s="269" customFormat="1" ht="20.25">
      <c r="A1384" s="267"/>
      <c r="B1384" s="275" t="s">
        <v>2437</v>
      </c>
      <c r="C1384" s="275" t="s">
        <v>3831</v>
      </c>
      <c r="D1384" s="168" t="s">
        <v>6836</v>
      </c>
      <c r="E1384" s="168" t="s">
        <v>2294</v>
      </c>
      <c r="F1384" s="168" t="s">
        <v>4623</v>
      </c>
      <c r="G1384" s="168" t="s">
        <v>4623</v>
      </c>
      <c r="H1384" s="292" t="s">
        <v>4623</v>
      </c>
      <c r="I1384" s="293" t="s">
        <v>4623</v>
      </c>
      <c r="J1384" s="293" t="s">
        <v>4623</v>
      </c>
      <c r="K1384" s="290" t="s">
        <v>4623</v>
      </c>
      <c r="L1384" s="290" t="s">
        <v>4623</v>
      </c>
      <c r="M1384" s="290" t="s">
        <v>4623</v>
      </c>
      <c r="N1384" s="290" t="s">
        <v>4623</v>
      </c>
      <c r="O1384" s="290" t="s">
        <v>4623</v>
      </c>
      <c r="P1384" s="290" t="s">
        <v>999</v>
      </c>
      <c r="Q1384" s="291" t="s">
        <v>4623</v>
      </c>
      <c r="R1384" s="276"/>
      <c r="S1384" s="277">
        <f>IF(OR(C1384="",C1384=T$4),NA(),MATCH($B1384&amp;$C1384,'Smelter Reference List'!$J:$J,0))</f>
        <v>442</v>
      </c>
      <c r="T1384" s="278"/>
      <c r="U1384" s="278"/>
      <c r="V1384" s="278"/>
      <c r="W1384" s="278"/>
    </row>
    <row r="1385" spans="1:23" s="269" customFormat="1" ht="20.25">
      <c r="A1385" s="267"/>
      <c r="B1385" s="275" t="s">
        <v>2437</v>
      </c>
      <c r="C1385" s="275" t="s">
        <v>3831</v>
      </c>
      <c r="D1385" s="168" t="s">
        <v>6837</v>
      </c>
      <c r="E1385" s="168" t="s">
        <v>2294</v>
      </c>
      <c r="F1385" s="168" t="s">
        <v>4623</v>
      </c>
      <c r="G1385" s="168" t="s">
        <v>4623</v>
      </c>
      <c r="H1385" s="292" t="s">
        <v>4623</v>
      </c>
      <c r="I1385" s="293" t="s">
        <v>6838</v>
      </c>
      <c r="J1385" s="293" t="s">
        <v>5246</v>
      </c>
      <c r="K1385" s="290" t="s">
        <v>4623</v>
      </c>
      <c r="L1385" s="290" t="s">
        <v>4623</v>
      </c>
      <c r="M1385" s="290" t="s">
        <v>4623</v>
      </c>
      <c r="N1385" s="290" t="s">
        <v>4623</v>
      </c>
      <c r="O1385" s="290" t="s">
        <v>4623</v>
      </c>
      <c r="P1385" s="290" t="s">
        <v>999</v>
      </c>
      <c r="Q1385" s="291" t="s">
        <v>4623</v>
      </c>
      <c r="R1385" s="276"/>
      <c r="S1385" s="277">
        <f>IF(OR(C1385="",C1385=T$4),NA(),MATCH($B1385&amp;$C1385,'Smelter Reference List'!$J:$J,0))</f>
        <v>442</v>
      </c>
      <c r="T1385" s="278"/>
      <c r="U1385" s="278"/>
      <c r="V1385" s="278"/>
      <c r="W1385" s="278"/>
    </row>
    <row r="1386" spans="1:23" s="269" customFormat="1" ht="20.25">
      <c r="A1386" s="267"/>
      <c r="B1386" s="275" t="s">
        <v>2437</v>
      </c>
      <c r="C1386" s="275" t="s">
        <v>3831</v>
      </c>
      <c r="D1386" s="168" t="s">
        <v>6839</v>
      </c>
      <c r="E1386" s="168" t="s">
        <v>2294</v>
      </c>
      <c r="F1386" s="168" t="s">
        <v>4623</v>
      </c>
      <c r="G1386" s="168" t="s">
        <v>4623</v>
      </c>
      <c r="H1386" s="292" t="s">
        <v>4623</v>
      </c>
      <c r="I1386" s="293" t="s">
        <v>4623</v>
      </c>
      <c r="J1386" s="293" t="s">
        <v>4623</v>
      </c>
      <c r="K1386" s="290" t="s">
        <v>4623</v>
      </c>
      <c r="L1386" s="290" t="s">
        <v>4623</v>
      </c>
      <c r="M1386" s="290" t="s">
        <v>4623</v>
      </c>
      <c r="N1386" s="290" t="s">
        <v>4623</v>
      </c>
      <c r="O1386" s="290" t="s">
        <v>4623</v>
      </c>
      <c r="P1386" s="290" t="s">
        <v>999</v>
      </c>
      <c r="Q1386" s="291" t="s">
        <v>4623</v>
      </c>
      <c r="R1386" s="276"/>
      <c r="S1386" s="277">
        <f>IF(OR(C1386="",C1386=T$4),NA(),MATCH($B1386&amp;$C1386,'Smelter Reference List'!$J:$J,0))</f>
        <v>442</v>
      </c>
      <c r="T1386" s="278"/>
      <c r="U1386" s="278"/>
      <c r="V1386" s="278"/>
      <c r="W1386" s="278"/>
    </row>
    <row r="1387" spans="1:23" s="269" customFormat="1" ht="20.25">
      <c r="A1387" s="267"/>
      <c r="B1387" s="275" t="s">
        <v>2437</v>
      </c>
      <c r="C1387" s="275" t="s">
        <v>3831</v>
      </c>
      <c r="D1387" s="168" t="s">
        <v>6840</v>
      </c>
      <c r="E1387" s="168" t="s">
        <v>2294</v>
      </c>
      <c r="F1387" s="168" t="s">
        <v>4623</v>
      </c>
      <c r="G1387" s="168" t="s">
        <v>4623</v>
      </c>
      <c r="H1387" s="292" t="s">
        <v>4623</v>
      </c>
      <c r="I1387" s="293" t="s">
        <v>4623</v>
      </c>
      <c r="J1387" s="293" t="s">
        <v>4623</v>
      </c>
      <c r="K1387" s="290" t="s">
        <v>4623</v>
      </c>
      <c r="L1387" s="290" t="s">
        <v>4623</v>
      </c>
      <c r="M1387" s="290" t="s">
        <v>6377</v>
      </c>
      <c r="N1387" s="290" t="s">
        <v>5000</v>
      </c>
      <c r="O1387" s="290" t="s">
        <v>5000</v>
      </c>
      <c r="P1387" s="290" t="s">
        <v>999</v>
      </c>
      <c r="Q1387" s="291" t="s">
        <v>4623</v>
      </c>
      <c r="R1387" s="276"/>
      <c r="S1387" s="277">
        <f>IF(OR(C1387="",C1387=T$4),NA(),MATCH($B1387&amp;$C1387,'Smelter Reference List'!$J:$J,0))</f>
        <v>442</v>
      </c>
      <c r="T1387" s="278"/>
      <c r="U1387" s="278"/>
      <c r="V1387" s="278"/>
      <c r="W1387" s="278"/>
    </row>
    <row r="1388" spans="1:23" s="269" customFormat="1" ht="20.25">
      <c r="A1388" s="267"/>
      <c r="B1388" s="275" t="s">
        <v>2437</v>
      </c>
      <c r="C1388" s="275" t="s">
        <v>3831</v>
      </c>
      <c r="D1388" s="168" t="s">
        <v>6841</v>
      </c>
      <c r="E1388" s="168" t="s">
        <v>2294</v>
      </c>
      <c r="F1388" s="168" t="s">
        <v>4623</v>
      </c>
      <c r="G1388" s="168" t="s">
        <v>4623</v>
      </c>
      <c r="H1388" s="292" t="s">
        <v>4623</v>
      </c>
      <c r="I1388" s="293" t="s">
        <v>4623</v>
      </c>
      <c r="J1388" s="293" t="s">
        <v>4623</v>
      </c>
      <c r="K1388" s="290" t="s">
        <v>4623</v>
      </c>
      <c r="L1388" s="290" t="s">
        <v>4623</v>
      </c>
      <c r="M1388" s="290" t="s">
        <v>6377</v>
      </c>
      <c r="N1388" s="290" t="s">
        <v>5000</v>
      </c>
      <c r="O1388" s="290" t="s">
        <v>5000</v>
      </c>
      <c r="P1388" s="290" t="s">
        <v>999</v>
      </c>
      <c r="Q1388" s="291" t="s">
        <v>4623</v>
      </c>
      <c r="R1388" s="276"/>
      <c r="S1388" s="277">
        <f>IF(OR(C1388="",C1388=T$4),NA(),MATCH($B1388&amp;$C1388,'Smelter Reference List'!$J:$J,0))</f>
        <v>442</v>
      </c>
      <c r="T1388" s="278"/>
      <c r="U1388" s="278"/>
      <c r="V1388" s="278"/>
      <c r="W1388" s="278"/>
    </row>
    <row r="1389" spans="1:23" s="269" customFormat="1" ht="20.25">
      <c r="A1389" s="267"/>
      <c r="B1389" s="275" t="s">
        <v>2437</v>
      </c>
      <c r="C1389" s="275" t="s">
        <v>3831</v>
      </c>
      <c r="D1389" s="168" t="s">
        <v>6842</v>
      </c>
      <c r="E1389" s="168" t="s">
        <v>2294</v>
      </c>
      <c r="F1389" s="168" t="s">
        <v>4623</v>
      </c>
      <c r="G1389" s="168" t="s">
        <v>4623</v>
      </c>
      <c r="H1389" s="292" t="s">
        <v>6843</v>
      </c>
      <c r="I1389" s="293" t="s">
        <v>6844</v>
      </c>
      <c r="J1389" s="293" t="s">
        <v>5246</v>
      </c>
      <c r="K1389" s="290" t="s">
        <v>6845</v>
      </c>
      <c r="L1389" s="290" t="s">
        <v>4623</v>
      </c>
      <c r="M1389" s="290" t="s">
        <v>4623</v>
      </c>
      <c r="N1389" s="290" t="s">
        <v>4623</v>
      </c>
      <c r="O1389" s="290" t="s">
        <v>4623</v>
      </c>
      <c r="P1389" s="290" t="s">
        <v>999</v>
      </c>
      <c r="Q1389" s="291" t="s">
        <v>4623</v>
      </c>
      <c r="R1389" s="276"/>
      <c r="S1389" s="277">
        <f>IF(OR(C1389="",C1389=T$4),NA(),MATCH($B1389&amp;$C1389,'Smelter Reference List'!$J:$J,0))</f>
        <v>442</v>
      </c>
      <c r="T1389" s="278"/>
      <c r="U1389" s="278"/>
      <c r="V1389" s="278"/>
      <c r="W1389" s="278"/>
    </row>
    <row r="1390" spans="1:23" s="269" customFormat="1" ht="20.25">
      <c r="A1390" s="267"/>
      <c r="B1390" s="275" t="s">
        <v>2437</v>
      </c>
      <c r="C1390" s="275" t="s">
        <v>3831</v>
      </c>
      <c r="D1390" s="168" t="s">
        <v>5260</v>
      </c>
      <c r="E1390" s="168" t="s">
        <v>2294</v>
      </c>
      <c r="F1390" s="168" t="s">
        <v>4623</v>
      </c>
      <c r="G1390" s="168" t="s">
        <v>4623</v>
      </c>
      <c r="H1390" s="292" t="s">
        <v>4623</v>
      </c>
      <c r="I1390" s="293" t="s">
        <v>4623</v>
      </c>
      <c r="J1390" s="293" t="s">
        <v>4623</v>
      </c>
      <c r="K1390" s="290" t="s">
        <v>4623</v>
      </c>
      <c r="L1390" s="290" t="s">
        <v>4623</v>
      </c>
      <c r="M1390" s="290" t="s">
        <v>4623</v>
      </c>
      <c r="N1390" s="290" t="s">
        <v>4623</v>
      </c>
      <c r="O1390" s="290" t="s">
        <v>4623</v>
      </c>
      <c r="P1390" s="290" t="s">
        <v>999</v>
      </c>
      <c r="Q1390" s="291" t="s">
        <v>4623</v>
      </c>
      <c r="R1390" s="276"/>
      <c r="S1390" s="277">
        <f>IF(OR(C1390="",C1390=T$4),NA(),MATCH($B1390&amp;$C1390,'Smelter Reference List'!$J:$J,0))</f>
        <v>442</v>
      </c>
      <c r="T1390" s="278"/>
      <c r="U1390" s="278"/>
      <c r="V1390" s="278"/>
      <c r="W1390" s="278"/>
    </row>
    <row r="1391" spans="1:23" s="269" customFormat="1" ht="20.25">
      <c r="A1391" s="267"/>
      <c r="B1391" s="275" t="s">
        <v>2437</v>
      </c>
      <c r="C1391" s="275" t="s">
        <v>3831</v>
      </c>
      <c r="D1391" s="168" t="s">
        <v>6846</v>
      </c>
      <c r="E1391" s="168" t="s">
        <v>2294</v>
      </c>
      <c r="F1391" s="168" t="s">
        <v>4623</v>
      </c>
      <c r="G1391" s="168" t="s">
        <v>4623</v>
      </c>
      <c r="H1391" s="292" t="s">
        <v>4623</v>
      </c>
      <c r="I1391" s="293" t="s">
        <v>4623</v>
      </c>
      <c r="J1391" s="293" t="s">
        <v>4623</v>
      </c>
      <c r="K1391" s="290" t="s">
        <v>4623</v>
      </c>
      <c r="L1391" s="290" t="s">
        <v>4623</v>
      </c>
      <c r="M1391" s="290" t="s">
        <v>4623</v>
      </c>
      <c r="N1391" s="290" t="s">
        <v>4623</v>
      </c>
      <c r="O1391" s="290" t="s">
        <v>4623</v>
      </c>
      <c r="P1391" s="290" t="s">
        <v>999</v>
      </c>
      <c r="Q1391" s="291" t="s">
        <v>6847</v>
      </c>
      <c r="R1391" s="276"/>
      <c r="S1391" s="277">
        <f>IF(OR(C1391="",C1391=T$4),NA(),MATCH($B1391&amp;$C1391,'Smelter Reference List'!$J:$J,0))</f>
        <v>442</v>
      </c>
      <c r="T1391" s="278"/>
      <c r="U1391" s="278"/>
      <c r="V1391" s="278"/>
      <c r="W1391" s="278"/>
    </row>
    <row r="1392" spans="1:23" s="269" customFormat="1" ht="20.25">
      <c r="A1392" s="267"/>
      <c r="B1392" s="275" t="s">
        <v>2437</v>
      </c>
      <c r="C1392" s="275" t="s">
        <v>3831</v>
      </c>
      <c r="D1392" s="168" t="s">
        <v>6848</v>
      </c>
      <c r="E1392" s="168" t="s">
        <v>2294</v>
      </c>
      <c r="F1392" s="168" t="s">
        <v>4623</v>
      </c>
      <c r="G1392" s="168" t="s">
        <v>4623</v>
      </c>
      <c r="H1392" s="292" t="s">
        <v>4623</v>
      </c>
      <c r="I1392" s="293" t="s">
        <v>4623</v>
      </c>
      <c r="J1392" s="293" t="s">
        <v>4623</v>
      </c>
      <c r="K1392" s="290" t="s">
        <v>4623</v>
      </c>
      <c r="L1392" s="290" t="s">
        <v>4623</v>
      </c>
      <c r="M1392" s="290" t="s">
        <v>4623</v>
      </c>
      <c r="N1392" s="290" t="s">
        <v>4623</v>
      </c>
      <c r="O1392" s="290" t="s">
        <v>4623</v>
      </c>
      <c r="P1392" s="290" t="s">
        <v>999</v>
      </c>
      <c r="Q1392" s="291" t="s">
        <v>4623</v>
      </c>
      <c r="R1392" s="276"/>
      <c r="S1392" s="277">
        <f>IF(OR(C1392="",C1392=T$4),NA(),MATCH($B1392&amp;$C1392,'Smelter Reference List'!$J:$J,0))</f>
        <v>442</v>
      </c>
      <c r="T1392" s="278"/>
      <c r="U1392" s="278"/>
      <c r="V1392" s="278"/>
      <c r="W1392" s="278"/>
    </row>
    <row r="1393" spans="1:23" s="269" customFormat="1" ht="20.25">
      <c r="A1393" s="267"/>
      <c r="B1393" s="275" t="s">
        <v>2437</v>
      </c>
      <c r="C1393" s="275" t="s">
        <v>3831</v>
      </c>
      <c r="D1393" s="168" t="s">
        <v>6849</v>
      </c>
      <c r="E1393" s="168" t="s">
        <v>2294</v>
      </c>
      <c r="F1393" s="168" t="s">
        <v>4623</v>
      </c>
      <c r="G1393" s="168" t="s">
        <v>4623</v>
      </c>
      <c r="H1393" s="292" t="s">
        <v>4623</v>
      </c>
      <c r="I1393" s="293" t="s">
        <v>4623</v>
      </c>
      <c r="J1393" s="293" t="s">
        <v>4623</v>
      </c>
      <c r="K1393" s="290" t="s">
        <v>4623</v>
      </c>
      <c r="L1393" s="290" t="s">
        <v>4623</v>
      </c>
      <c r="M1393" s="290" t="s">
        <v>4623</v>
      </c>
      <c r="N1393" s="290" t="s">
        <v>4623</v>
      </c>
      <c r="O1393" s="290" t="s">
        <v>4623</v>
      </c>
      <c r="P1393" s="290" t="s">
        <v>999</v>
      </c>
      <c r="Q1393" s="291" t="s">
        <v>4623</v>
      </c>
      <c r="R1393" s="276"/>
      <c r="S1393" s="277">
        <f>IF(OR(C1393="",C1393=T$4),NA(),MATCH($B1393&amp;$C1393,'Smelter Reference List'!$J:$J,0))</f>
        <v>442</v>
      </c>
      <c r="T1393" s="278"/>
      <c r="U1393" s="278"/>
      <c r="V1393" s="278"/>
      <c r="W1393" s="278"/>
    </row>
    <row r="1394" spans="1:23" s="269" customFormat="1" ht="20.25">
      <c r="A1394" s="267"/>
      <c r="B1394" s="275" t="s">
        <v>2437</v>
      </c>
      <c r="C1394" s="275" t="s">
        <v>3831</v>
      </c>
      <c r="D1394" s="168" t="s">
        <v>6850</v>
      </c>
      <c r="E1394" s="168" t="s">
        <v>2294</v>
      </c>
      <c r="F1394" s="168" t="s">
        <v>4623</v>
      </c>
      <c r="G1394" s="168" t="s">
        <v>4623</v>
      </c>
      <c r="H1394" s="292" t="s">
        <v>4623</v>
      </c>
      <c r="I1394" s="293" t="s">
        <v>6851</v>
      </c>
      <c r="J1394" s="293" t="s">
        <v>6852</v>
      </c>
      <c r="K1394" s="290" t="s">
        <v>4623</v>
      </c>
      <c r="L1394" s="290" t="s">
        <v>4623</v>
      </c>
      <c r="M1394" s="290" t="s">
        <v>4623</v>
      </c>
      <c r="N1394" s="290" t="s">
        <v>6853</v>
      </c>
      <c r="O1394" s="290" t="s">
        <v>4623</v>
      </c>
      <c r="P1394" s="290" t="s">
        <v>999</v>
      </c>
      <c r="Q1394" s="291" t="s">
        <v>4623</v>
      </c>
      <c r="R1394" s="276"/>
      <c r="S1394" s="277">
        <f>IF(OR(C1394="",C1394=T$4),NA(),MATCH($B1394&amp;$C1394,'Smelter Reference List'!$J:$J,0))</f>
        <v>442</v>
      </c>
      <c r="T1394" s="278"/>
      <c r="U1394" s="278"/>
      <c r="V1394" s="278"/>
      <c r="W1394" s="278"/>
    </row>
    <row r="1395" spans="1:23" s="269" customFormat="1" ht="20.25">
      <c r="A1395" s="267"/>
      <c r="B1395" s="275" t="s">
        <v>2437</v>
      </c>
      <c r="C1395" s="275" t="s">
        <v>3831</v>
      </c>
      <c r="D1395" s="168" t="s">
        <v>6854</v>
      </c>
      <c r="E1395" s="168" t="s">
        <v>2294</v>
      </c>
      <c r="F1395" s="168" t="s">
        <v>4623</v>
      </c>
      <c r="G1395" s="168" t="s">
        <v>4623</v>
      </c>
      <c r="H1395" s="292" t="s">
        <v>4623</v>
      </c>
      <c r="I1395" s="293" t="s">
        <v>4623</v>
      </c>
      <c r="J1395" s="293" t="s">
        <v>4623</v>
      </c>
      <c r="K1395" s="290" t="s">
        <v>4623</v>
      </c>
      <c r="L1395" s="290" t="s">
        <v>4623</v>
      </c>
      <c r="M1395" s="290" t="s">
        <v>4623</v>
      </c>
      <c r="N1395" s="290" t="s">
        <v>4623</v>
      </c>
      <c r="O1395" s="290" t="s">
        <v>4623</v>
      </c>
      <c r="P1395" s="290" t="s">
        <v>999</v>
      </c>
      <c r="Q1395" s="291" t="s">
        <v>4623</v>
      </c>
      <c r="R1395" s="276"/>
      <c r="S1395" s="277">
        <f>IF(OR(C1395="",C1395=T$4),NA(),MATCH($B1395&amp;$C1395,'Smelter Reference List'!$J:$J,0))</f>
        <v>442</v>
      </c>
      <c r="T1395" s="278"/>
      <c r="U1395" s="278"/>
      <c r="V1395" s="278"/>
      <c r="W1395" s="278"/>
    </row>
    <row r="1396" spans="1:23" s="269" customFormat="1" ht="20.25">
      <c r="A1396" s="267"/>
      <c r="B1396" s="275" t="s">
        <v>2437</v>
      </c>
      <c r="C1396" s="275" t="s">
        <v>3831</v>
      </c>
      <c r="D1396" s="168" t="s">
        <v>1907</v>
      </c>
      <c r="E1396" s="168" t="s">
        <v>2294</v>
      </c>
      <c r="F1396" s="168" t="s">
        <v>4623</v>
      </c>
      <c r="G1396" s="168" t="s">
        <v>4623</v>
      </c>
      <c r="H1396" s="292" t="s">
        <v>4623</v>
      </c>
      <c r="I1396" s="293" t="s">
        <v>4623</v>
      </c>
      <c r="J1396" s="293" t="s">
        <v>4623</v>
      </c>
      <c r="K1396" s="290" t="s">
        <v>4623</v>
      </c>
      <c r="L1396" s="290" t="s">
        <v>4623</v>
      </c>
      <c r="M1396" s="290" t="s">
        <v>4623</v>
      </c>
      <c r="N1396" s="290" t="s">
        <v>4623</v>
      </c>
      <c r="O1396" s="290" t="s">
        <v>4623</v>
      </c>
      <c r="P1396" s="290" t="s">
        <v>999</v>
      </c>
      <c r="Q1396" s="291" t="s">
        <v>4623</v>
      </c>
      <c r="R1396" s="276"/>
      <c r="S1396" s="277">
        <f>IF(OR(C1396="",C1396=T$4),NA(),MATCH($B1396&amp;$C1396,'Smelter Reference List'!$J:$J,0))</f>
        <v>442</v>
      </c>
      <c r="T1396" s="278"/>
      <c r="U1396" s="278"/>
      <c r="V1396" s="278"/>
      <c r="W1396" s="278"/>
    </row>
    <row r="1397" spans="1:23" s="269" customFormat="1" ht="20.25">
      <c r="A1397" s="267"/>
      <c r="B1397" s="275" t="s">
        <v>2437</v>
      </c>
      <c r="C1397" s="275" t="s">
        <v>3831</v>
      </c>
      <c r="D1397" s="168" t="s">
        <v>6855</v>
      </c>
      <c r="E1397" s="168" t="s">
        <v>2294</v>
      </c>
      <c r="F1397" s="168" t="s">
        <v>4623</v>
      </c>
      <c r="G1397" s="168" t="s">
        <v>4623</v>
      </c>
      <c r="H1397" s="292" t="s">
        <v>4623</v>
      </c>
      <c r="I1397" s="293" t="s">
        <v>4623</v>
      </c>
      <c r="J1397" s="293" t="s">
        <v>4623</v>
      </c>
      <c r="K1397" s="290" t="s">
        <v>4623</v>
      </c>
      <c r="L1397" s="290" t="s">
        <v>4623</v>
      </c>
      <c r="M1397" s="290" t="s">
        <v>4623</v>
      </c>
      <c r="N1397" s="290" t="s">
        <v>4623</v>
      </c>
      <c r="O1397" s="290" t="s">
        <v>4623</v>
      </c>
      <c r="P1397" s="290" t="s">
        <v>999</v>
      </c>
      <c r="Q1397" s="291" t="s">
        <v>4623</v>
      </c>
      <c r="R1397" s="276"/>
      <c r="S1397" s="277">
        <f>IF(OR(C1397="",C1397=T$4),NA(),MATCH($B1397&amp;$C1397,'Smelter Reference List'!$J:$J,0))</f>
        <v>442</v>
      </c>
      <c r="T1397" s="278"/>
      <c r="U1397" s="278"/>
      <c r="V1397" s="278"/>
      <c r="W1397" s="278"/>
    </row>
    <row r="1398" spans="1:23" s="269" customFormat="1" ht="20.25">
      <c r="A1398" s="267"/>
      <c r="B1398" s="275" t="s">
        <v>2437</v>
      </c>
      <c r="C1398" s="275" t="s">
        <v>3831</v>
      </c>
      <c r="D1398" s="168" t="s">
        <v>6856</v>
      </c>
      <c r="E1398" s="168" t="s">
        <v>2294</v>
      </c>
      <c r="F1398" s="168" t="s">
        <v>4623</v>
      </c>
      <c r="G1398" s="168" t="s">
        <v>4623</v>
      </c>
      <c r="H1398" s="292" t="s">
        <v>4623</v>
      </c>
      <c r="I1398" s="293" t="s">
        <v>4623</v>
      </c>
      <c r="J1398" s="293" t="s">
        <v>4623</v>
      </c>
      <c r="K1398" s="290" t="s">
        <v>4623</v>
      </c>
      <c r="L1398" s="290" t="s">
        <v>4623</v>
      </c>
      <c r="M1398" s="290" t="s">
        <v>4623</v>
      </c>
      <c r="N1398" s="290" t="s">
        <v>4623</v>
      </c>
      <c r="O1398" s="290" t="s">
        <v>4623</v>
      </c>
      <c r="P1398" s="290" t="s">
        <v>999</v>
      </c>
      <c r="Q1398" s="291" t="s">
        <v>4623</v>
      </c>
      <c r="R1398" s="276"/>
      <c r="S1398" s="277">
        <f>IF(OR(C1398="",C1398=T$4),NA(),MATCH($B1398&amp;$C1398,'Smelter Reference List'!$J:$J,0))</f>
        <v>442</v>
      </c>
      <c r="T1398" s="278"/>
      <c r="U1398" s="278"/>
      <c r="V1398" s="278"/>
      <c r="W1398" s="278"/>
    </row>
    <row r="1399" spans="1:23" s="269" customFormat="1" ht="20.25">
      <c r="A1399" s="267"/>
      <c r="B1399" s="275" t="s">
        <v>2437</v>
      </c>
      <c r="C1399" s="275" t="s">
        <v>3831</v>
      </c>
      <c r="D1399" s="168" t="s">
        <v>6857</v>
      </c>
      <c r="E1399" s="168" t="s">
        <v>2294</v>
      </c>
      <c r="F1399" s="168" t="s">
        <v>4623</v>
      </c>
      <c r="G1399" s="168" t="s">
        <v>4623</v>
      </c>
      <c r="H1399" s="292" t="s">
        <v>4623</v>
      </c>
      <c r="I1399" s="293" t="s">
        <v>4623</v>
      </c>
      <c r="J1399" s="293" t="s">
        <v>4623</v>
      </c>
      <c r="K1399" s="290" t="s">
        <v>4623</v>
      </c>
      <c r="L1399" s="290" t="s">
        <v>4623</v>
      </c>
      <c r="M1399" s="290" t="s">
        <v>4623</v>
      </c>
      <c r="N1399" s="290" t="s">
        <v>4623</v>
      </c>
      <c r="O1399" s="290" t="s">
        <v>4623</v>
      </c>
      <c r="P1399" s="290" t="s">
        <v>999</v>
      </c>
      <c r="Q1399" s="291" t="s">
        <v>4623</v>
      </c>
      <c r="R1399" s="276"/>
      <c r="S1399" s="277">
        <f>IF(OR(C1399="",C1399=T$4),NA(),MATCH($B1399&amp;$C1399,'Smelter Reference List'!$J:$J,0))</f>
        <v>442</v>
      </c>
      <c r="T1399" s="278"/>
      <c r="U1399" s="278"/>
      <c r="V1399" s="278"/>
      <c r="W1399" s="278"/>
    </row>
    <row r="1400" spans="1:23" s="269" customFormat="1" ht="20.25">
      <c r="A1400" s="267"/>
      <c r="B1400" s="275" t="s">
        <v>2437</v>
      </c>
      <c r="C1400" s="275" t="s">
        <v>3831</v>
      </c>
      <c r="D1400" s="168" t="s">
        <v>6858</v>
      </c>
      <c r="E1400" s="168" t="s">
        <v>2294</v>
      </c>
      <c r="F1400" s="168" t="s">
        <v>4623</v>
      </c>
      <c r="G1400" s="168" t="s">
        <v>4623</v>
      </c>
      <c r="H1400" s="292" t="s">
        <v>4623</v>
      </c>
      <c r="I1400" s="293" t="s">
        <v>4623</v>
      </c>
      <c r="J1400" s="293" t="s">
        <v>4623</v>
      </c>
      <c r="K1400" s="290" t="s">
        <v>4623</v>
      </c>
      <c r="L1400" s="290" t="s">
        <v>4623</v>
      </c>
      <c r="M1400" s="290" t="s">
        <v>4623</v>
      </c>
      <c r="N1400" s="290" t="s">
        <v>4623</v>
      </c>
      <c r="O1400" s="290" t="s">
        <v>4623</v>
      </c>
      <c r="P1400" s="290" t="s">
        <v>999</v>
      </c>
      <c r="Q1400" s="291" t="s">
        <v>4623</v>
      </c>
      <c r="R1400" s="276"/>
      <c r="S1400" s="277">
        <f>IF(OR(C1400="",C1400=T$4),NA(),MATCH($B1400&amp;$C1400,'Smelter Reference List'!$J:$J,0))</f>
        <v>442</v>
      </c>
      <c r="T1400" s="278"/>
      <c r="U1400" s="278"/>
      <c r="V1400" s="278"/>
      <c r="W1400" s="278"/>
    </row>
    <row r="1401" spans="1:23" s="269" customFormat="1" ht="20.25">
      <c r="A1401" s="267"/>
      <c r="B1401" s="275" t="s">
        <v>2437</v>
      </c>
      <c r="C1401" s="275" t="s">
        <v>3831</v>
      </c>
      <c r="D1401" s="168" t="s">
        <v>6859</v>
      </c>
      <c r="E1401" s="168" t="s">
        <v>2294</v>
      </c>
      <c r="F1401" s="168" t="s">
        <v>4623</v>
      </c>
      <c r="G1401" s="168" t="s">
        <v>4623</v>
      </c>
      <c r="H1401" s="292" t="s">
        <v>4623</v>
      </c>
      <c r="I1401" s="293" t="s">
        <v>4623</v>
      </c>
      <c r="J1401" s="293" t="s">
        <v>4623</v>
      </c>
      <c r="K1401" s="290" t="s">
        <v>4623</v>
      </c>
      <c r="L1401" s="290" t="s">
        <v>4623</v>
      </c>
      <c r="M1401" s="290" t="s">
        <v>4623</v>
      </c>
      <c r="N1401" s="290" t="s">
        <v>4623</v>
      </c>
      <c r="O1401" s="290" t="s">
        <v>4623</v>
      </c>
      <c r="P1401" s="290" t="s">
        <v>999</v>
      </c>
      <c r="Q1401" s="291" t="s">
        <v>4623</v>
      </c>
      <c r="R1401" s="276"/>
      <c r="S1401" s="277">
        <f>IF(OR(C1401="",C1401=T$4),NA(),MATCH($B1401&amp;$C1401,'Smelter Reference List'!$J:$J,0))</f>
        <v>442</v>
      </c>
      <c r="T1401" s="278"/>
      <c r="U1401" s="278"/>
      <c r="V1401" s="278"/>
      <c r="W1401" s="278"/>
    </row>
    <row r="1402" spans="1:23" s="269" customFormat="1" ht="20.25">
      <c r="A1402" s="267"/>
      <c r="B1402" s="275" t="s">
        <v>2437</v>
      </c>
      <c r="C1402" s="275" t="s">
        <v>3831</v>
      </c>
      <c r="D1402" s="168" t="s">
        <v>6860</v>
      </c>
      <c r="E1402" s="168" t="s">
        <v>2294</v>
      </c>
      <c r="F1402" s="168" t="s">
        <v>4623</v>
      </c>
      <c r="G1402" s="168" t="s">
        <v>4623</v>
      </c>
      <c r="H1402" s="292" t="s">
        <v>4623</v>
      </c>
      <c r="I1402" s="293" t="s">
        <v>4623</v>
      </c>
      <c r="J1402" s="293" t="s">
        <v>4623</v>
      </c>
      <c r="K1402" s="290" t="s">
        <v>4623</v>
      </c>
      <c r="L1402" s="290" t="s">
        <v>4623</v>
      </c>
      <c r="M1402" s="290" t="s">
        <v>6377</v>
      </c>
      <c r="N1402" s="290" t="s">
        <v>5000</v>
      </c>
      <c r="O1402" s="290" t="s">
        <v>5000</v>
      </c>
      <c r="P1402" s="290" t="s">
        <v>999</v>
      </c>
      <c r="Q1402" s="291" t="s">
        <v>4623</v>
      </c>
      <c r="R1402" s="276"/>
      <c r="S1402" s="277">
        <f>IF(OR(C1402="",C1402=T$4),NA(),MATCH($B1402&amp;$C1402,'Smelter Reference List'!$J:$J,0))</f>
        <v>442</v>
      </c>
      <c r="T1402" s="278"/>
      <c r="U1402" s="278"/>
      <c r="V1402" s="278"/>
      <c r="W1402" s="278"/>
    </row>
    <row r="1403" spans="1:23" s="269" customFormat="1" ht="20.25">
      <c r="A1403" s="267"/>
      <c r="B1403" s="275" t="s">
        <v>2437</v>
      </c>
      <c r="C1403" s="275" t="s">
        <v>3831</v>
      </c>
      <c r="D1403" s="168" t="s">
        <v>6861</v>
      </c>
      <c r="E1403" s="168" t="s">
        <v>2294</v>
      </c>
      <c r="F1403" s="168" t="s">
        <v>4623</v>
      </c>
      <c r="G1403" s="168" t="s">
        <v>4623</v>
      </c>
      <c r="H1403" s="292" t="s">
        <v>4623</v>
      </c>
      <c r="I1403" s="293" t="s">
        <v>4623</v>
      </c>
      <c r="J1403" s="293" t="s">
        <v>4623</v>
      </c>
      <c r="K1403" s="290" t="s">
        <v>4623</v>
      </c>
      <c r="L1403" s="290" t="s">
        <v>4623</v>
      </c>
      <c r="M1403" s="290" t="s">
        <v>4623</v>
      </c>
      <c r="N1403" s="290" t="s">
        <v>4623</v>
      </c>
      <c r="O1403" s="290" t="s">
        <v>4623</v>
      </c>
      <c r="P1403" s="290" t="s">
        <v>999</v>
      </c>
      <c r="Q1403" s="291" t="s">
        <v>4623</v>
      </c>
      <c r="R1403" s="276"/>
      <c r="S1403" s="277">
        <f>IF(OR(C1403="",C1403=T$4),NA(),MATCH($B1403&amp;$C1403,'Smelter Reference List'!$J:$J,0))</f>
        <v>442</v>
      </c>
      <c r="T1403" s="278"/>
      <c r="U1403" s="278"/>
      <c r="V1403" s="278"/>
      <c r="W1403" s="278"/>
    </row>
    <row r="1404" spans="1:23" s="269" customFormat="1" ht="20.25">
      <c r="A1404" s="267"/>
      <c r="B1404" s="275" t="s">
        <v>2437</v>
      </c>
      <c r="C1404" s="275" t="s">
        <v>3831</v>
      </c>
      <c r="D1404" s="168" t="s">
        <v>6862</v>
      </c>
      <c r="E1404" s="168" t="s">
        <v>2294</v>
      </c>
      <c r="F1404" s="168" t="s">
        <v>4623</v>
      </c>
      <c r="G1404" s="168" t="s">
        <v>4623</v>
      </c>
      <c r="H1404" s="292" t="s">
        <v>4623</v>
      </c>
      <c r="I1404" s="293" t="s">
        <v>4623</v>
      </c>
      <c r="J1404" s="293" t="s">
        <v>4623</v>
      </c>
      <c r="K1404" s="290" t="s">
        <v>4623</v>
      </c>
      <c r="L1404" s="290" t="s">
        <v>4623</v>
      </c>
      <c r="M1404" s="290" t="s">
        <v>4623</v>
      </c>
      <c r="N1404" s="290" t="s">
        <v>6863</v>
      </c>
      <c r="O1404" s="290" t="s">
        <v>4623</v>
      </c>
      <c r="P1404" s="290" t="s">
        <v>999</v>
      </c>
      <c r="Q1404" s="291" t="s">
        <v>4623</v>
      </c>
      <c r="R1404" s="276"/>
      <c r="S1404" s="277">
        <f>IF(OR(C1404="",C1404=T$4),NA(),MATCH($B1404&amp;$C1404,'Smelter Reference List'!$J:$J,0))</f>
        <v>442</v>
      </c>
      <c r="T1404" s="278"/>
      <c r="U1404" s="278"/>
      <c r="V1404" s="278"/>
      <c r="W1404" s="278"/>
    </row>
    <row r="1405" spans="1:23" s="269" customFormat="1" ht="20.25">
      <c r="A1405" s="267"/>
      <c r="B1405" s="275" t="s">
        <v>2437</v>
      </c>
      <c r="C1405" s="275" t="s">
        <v>3831</v>
      </c>
      <c r="D1405" s="168" t="s">
        <v>6864</v>
      </c>
      <c r="E1405" s="168" t="s">
        <v>2294</v>
      </c>
      <c r="F1405" s="168" t="s">
        <v>4623</v>
      </c>
      <c r="G1405" s="168" t="s">
        <v>4623</v>
      </c>
      <c r="H1405" s="292" t="s">
        <v>4623</v>
      </c>
      <c r="I1405" s="293" t="s">
        <v>4623</v>
      </c>
      <c r="J1405" s="293" t="s">
        <v>4623</v>
      </c>
      <c r="K1405" s="290" t="s">
        <v>4623</v>
      </c>
      <c r="L1405" s="290" t="s">
        <v>4623</v>
      </c>
      <c r="M1405" s="290" t="s">
        <v>4623</v>
      </c>
      <c r="N1405" s="290" t="s">
        <v>4623</v>
      </c>
      <c r="O1405" s="290" t="s">
        <v>4623</v>
      </c>
      <c r="P1405" s="290" t="s">
        <v>999</v>
      </c>
      <c r="Q1405" s="291" t="s">
        <v>4623</v>
      </c>
      <c r="R1405" s="276"/>
      <c r="S1405" s="277">
        <f>IF(OR(C1405="",C1405=T$4),NA(),MATCH($B1405&amp;$C1405,'Smelter Reference List'!$J:$J,0))</f>
        <v>442</v>
      </c>
      <c r="T1405" s="278"/>
      <c r="U1405" s="278"/>
      <c r="V1405" s="278"/>
      <c r="W1405" s="278"/>
    </row>
    <row r="1406" spans="1:23" s="269" customFormat="1" ht="20.25">
      <c r="A1406" s="267"/>
      <c r="B1406" s="275" t="s">
        <v>2437</v>
      </c>
      <c r="C1406" s="275" t="s">
        <v>3831</v>
      </c>
      <c r="D1406" s="168" t="s">
        <v>6865</v>
      </c>
      <c r="E1406" s="168" t="s">
        <v>2294</v>
      </c>
      <c r="F1406" s="168" t="s">
        <v>4623</v>
      </c>
      <c r="G1406" s="168" t="s">
        <v>4623</v>
      </c>
      <c r="H1406" s="292" t="s">
        <v>4623</v>
      </c>
      <c r="I1406" s="293" t="s">
        <v>4623</v>
      </c>
      <c r="J1406" s="293" t="s">
        <v>4623</v>
      </c>
      <c r="K1406" s="290" t="s">
        <v>4623</v>
      </c>
      <c r="L1406" s="290" t="s">
        <v>4623</v>
      </c>
      <c r="M1406" s="290" t="s">
        <v>4623</v>
      </c>
      <c r="N1406" s="290" t="s">
        <v>4623</v>
      </c>
      <c r="O1406" s="290" t="s">
        <v>4623</v>
      </c>
      <c r="P1406" s="290" t="s">
        <v>999</v>
      </c>
      <c r="Q1406" s="291" t="s">
        <v>4623</v>
      </c>
      <c r="R1406" s="276"/>
      <c r="S1406" s="277">
        <f>IF(OR(C1406="",C1406=T$4),NA(),MATCH($B1406&amp;$C1406,'Smelter Reference List'!$J:$J,0))</f>
        <v>442</v>
      </c>
      <c r="T1406" s="278"/>
      <c r="U1406" s="278"/>
      <c r="V1406" s="278"/>
      <c r="W1406" s="278"/>
    </row>
    <row r="1407" spans="1:23" s="269" customFormat="1" ht="20.25">
      <c r="A1407" s="267"/>
      <c r="B1407" s="275" t="s">
        <v>2437</v>
      </c>
      <c r="C1407" s="275" t="s">
        <v>3831</v>
      </c>
      <c r="D1407" s="168" t="s">
        <v>6866</v>
      </c>
      <c r="E1407" s="168" t="s">
        <v>2294</v>
      </c>
      <c r="F1407" s="168" t="s">
        <v>4623</v>
      </c>
      <c r="G1407" s="168" t="s">
        <v>4623</v>
      </c>
      <c r="H1407" s="292" t="s">
        <v>4623</v>
      </c>
      <c r="I1407" s="293" t="s">
        <v>4623</v>
      </c>
      <c r="J1407" s="293" t="s">
        <v>4623</v>
      </c>
      <c r="K1407" s="290" t="s">
        <v>4623</v>
      </c>
      <c r="L1407" s="290" t="s">
        <v>4623</v>
      </c>
      <c r="M1407" s="290" t="s">
        <v>4623</v>
      </c>
      <c r="N1407" s="290" t="s">
        <v>4623</v>
      </c>
      <c r="O1407" s="290" t="s">
        <v>4623</v>
      </c>
      <c r="P1407" s="290" t="s">
        <v>999</v>
      </c>
      <c r="Q1407" s="291" t="s">
        <v>4623</v>
      </c>
      <c r="R1407" s="276"/>
      <c r="S1407" s="277">
        <f>IF(OR(C1407="",C1407=T$4),NA(),MATCH($B1407&amp;$C1407,'Smelter Reference List'!$J:$J,0))</f>
        <v>442</v>
      </c>
      <c r="T1407" s="278"/>
      <c r="U1407" s="278"/>
      <c r="V1407" s="278"/>
      <c r="W1407" s="278"/>
    </row>
    <row r="1408" spans="1:23" s="269" customFormat="1" ht="20.25">
      <c r="A1408" s="267"/>
      <c r="B1408" s="275" t="s">
        <v>2437</v>
      </c>
      <c r="C1408" s="275" t="s">
        <v>3831</v>
      </c>
      <c r="D1408" s="168" t="s">
        <v>6867</v>
      </c>
      <c r="E1408" s="168" t="s">
        <v>2294</v>
      </c>
      <c r="F1408" s="168" t="s">
        <v>4623</v>
      </c>
      <c r="G1408" s="168" t="s">
        <v>4623</v>
      </c>
      <c r="H1408" s="292" t="s">
        <v>4623</v>
      </c>
      <c r="I1408" s="293" t="s">
        <v>4623</v>
      </c>
      <c r="J1408" s="293" t="s">
        <v>4623</v>
      </c>
      <c r="K1408" s="290" t="s">
        <v>4623</v>
      </c>
      <c r="L1408" s="290" t="s">
        <v>4623</v>
      </c>
      <c r="M1408" s="290" t="s">
        <v>4623</v>
      </c>
      <c r="N1408" s="290" t="s">
        <v>4623</v>
      </c>
      <c r="O1408" s="290" t="s">
        <v>4623</v>
      </c>
      <c r="P1408" s="290" t="s">
        <v>999</v>
      </c>
      <c r="Q1408" s="291" t="s">
        <v>4623</v>
      </c>
      <c r="R1408" s="276"/>
      <c r="S1408" s="277">
        <f>IF(OR(C1408="",C1408=T$4),NA(),MATCH($B1408&amp;$C1408,'Smelter Reference List'!$J:$J,0))</f>
        <v>442</v>
      </c>
      <c r="T1408" s="278"/>
      <c r="U1408" s="278"/>
      <c r="V1408" s="278"/>
      <c r="W1408" s="278"/>
    </row>
    <row r="1409" spans="1:23" s="269" customFormat="1" ht="20.25">
      <c r="A1409" s="267"/>
      <c r="B1409" s="275" t="s">
        <v>2437</v>
      </c>
      <c r="C1409" s="275" t="s">
        <v>3831</v>
      </c>
      <c r="D1409" s="168" t="s">
        <v>6868</v>
      </c>
      <c r="E1409" s="168" t="s">
        <v>2294</v>
      </c>
      <c r="F1409" s="168" t="s">
        <v>4623</v>
      </c>
      <c r="G1409" s="168" t="s">
        <v>4623</v>
      </c>
      <c r="H1409" s="292" t="s">
        <v>4623</v>
      </c>
      <c r="I1409" s="293" t="s">
        <v>4623</v>
      </c>
      <c r="J1409" s="293" t="s">
        <v>4623</v>
      </c>
      <c r="K1409" s="290" t="s">
        <v>4623</v>
      </c>
      <c r="L1409" s="290" t="s">
        <v>4623</v>
      </c>
      <c r="M1409" s="290" t="s">
        <v>4623</v>
      </c>
      <c r="N1409" s="290" t="s">
        <v>4623</v>
      </c>
      <c r="O1409" s="290" t="s">
        <v>4623</v>
      </c>
      <c r="P1409" s="290" t="s">
        <v>999</v>
      </c>
      <c r="Q1409" s="291" t="s">
        <v>4623</v>
      </c>
      <c r="R1409" s="276"/>
      <c r="S1409" s="277">
        <f>IF(OR(C1409="",C1409=T$4),NA(),MATCH($B1409&amp;$C1409,'Smelter Reference List'!$J:$J,0))</f>
        <v>442</v>
      </c>
      <c r="T1409" s="278"/>
      <c r="U1409" s="278"/>
      <c r="V1409" s="278"/>
      <c r="W1409" s="278"/>
    </row>
    <row r="1410" spans="1:23" s="269" customFormat="1" ht="20.25">
      <c r="A1410" s="267"/>
      <c r="B1410" s="275" t="s">
        <v>2437</v>
      </c>
      <c r="C1410" s="275" t="s">
        <v>3831</v>
      </c>
      <c r="D1410" s="168" t="s">
        <v>6869</v>
      </c>
      <c r="E1410" s="168" t="s">
        <v>2294</v>
      </c>
      <c r="F1410" s="168" t="s">
        <v>4623</v>
      </c>
      <c r="G1410" s="168" t="s">
        <v>4623</v>
      </c>
      <c r="H1410" s="292" t="s">
        <v>5279</v>
      </c>
      <c r="I1410" s="293" t="s">
        <v>5280</v>
      </c>
      <c r="J1410" s="293" t="s">
        <v>6761</v>
      </c>
      <c r="K1410" s="290" t="s">
        <v>5281</v>
      </c>
      <c r="L1410" s="290" t="s">
        <v>4623</v>
      </c>
      <c r="M1410" s="290" t="s">
        <v>4623</v>
      </c>
      <c r="N1410" s="290" t="s">
        <v>4667</v>
      </c>
      <c r="O1410" s="290" t="s">
        <v>6092</v>
      </c>
      <c r="P1410" s="290" t="s">
        <v>999</v>
      </c>
      <c r="Q1410" s="291" t="s">
        <v>4623</v>
      </c>
      <c r="R1410" s="276"/>
      <c r="S1410" s="277">
        <f>IF(OR(C1410="",C1410=T$4),NA(),MATCH($B1410&amp;$C1410,'Smelter Reference List'!$J:$J,0))</f>
        <v>442</v>
      </c>
      <c r="T1410" s="278"/>
      <c r="U1410" s="278"/>
      <c r="V1410" s="278"/>
      <c r="W1410" s="278"/>
    </row>
    <row r="1411" spans="1:23" s="269" customFormat="1" ht="20.25">
      <c r="A1411" s="267"/>
      <c r="B1411" s="275" t="s">
        <v>2437</v>
      </c>
      <c r="C1411" s="275" t="s">
        <v>3831</v>
      </c>
      <c r="D1411" s="168" t="s">
        <v>6870</v>
      </c>
      <c r="E1411" s="168" t="s">
        <v>2294</v>
      </c>
      <c r="F1411" s="168" t="s">
        <v>4623</v>
      </c>
      <c r="G1411" s="168" t="s">
        <v>4623</v>
      </c>
      <c r="H1411" s="292" t="s">
        <v>4623</v>
      </c>
      <c r="I1411" s="293" t="s">
        <v>4623</v>
      </c>
      <c r="J1411" s="293" t="s">
        <v>4623</v>
      </c>
      <c r="K1411" s="290" t="s">
        <v>4623</v>
      </c>
      <c r="L1411" s="290" t="s">
        <v>4623</v>
      </c>
      <c r="M1411" s="290" t="s">
        <v>4623</v>
      </c>
      <c r="N1411" s="290" t="s">
        <v>4623</v>
      </c>
      <c r="O1411" s="290" t="s">
        <v>4623</v>
      </c>
      <c r="P1411" s="290" t="s">
        <v>999</v>
      </c>
      <c r="Q1411" s="291" t="s">
        <v>4623</v>
      </c>
      <c r="R1411" s="276"/>
      <c r="S1411" s="277">
        <f>IF(OR(C1411="",C1411=T$4),NA(),MATCH($B1411&amp;$C1411,'Smelter Reference List'!$J:$J,0))</f>
        <v>442</v>
      </c>
      <c r="T1411" s="278"/>
      <c r="U1411" s="278"/>
      <c r="V1411" s="278"/>
      <c r="W1411" s="278"/>
    </row>
    <row r="1412" spans="1:23" s="269" customFormat="1" ht="20.25">
      <c r="A1412" s="267"/>
      <c r="B1412" s="275" t="s">
        <v>2437</v>
      </c>
      <c r="C1412" s="275" t="s">
        <v>3831</v>
      </c>
      <c r="D1412" s="168" t="s">
        <v>5289</v>
      </c>
      <c r="E1412" s="168" t="s">
        <v>2294</v>
      </c>
      <c r="F1412" s="168" t="s">
        <v>4623</v>
      </c>
      <c r="G1412" s="168" t="s">
        <v>4623</v>
      </c>
      <c r="H1412" s="292" t="s">
        <v>6871</v>
      </c>
      <c r="I1412" s="293" t="s">
        <v>6872</v>
      </c>
      <c r="J1412" s="293" t="s">
        <v>5280</v>
      </c>
      <c r="K1412" s="290" t="s">
        <v>4623</v>
      </c>
      <c r="L1412" s="290" t="s">
        <v>4623</v>
      </c>
      <c r="M1412" s="290" t="s">
        <v>4623</v>
      </c>
      <c r="N1412" s="290" t="s">
        <v>4623</v>
      </c>
      <c r="O1412" s="290" t="s">
        <v>4623</v>
      </c>
      <c r="P1412" s="290" t="s">
        <v>999</v>
      </c>
      <c r="Q1412" s="291" t="s">
        <v>4623</v>
      </c>
      <c r="R1412" s="276"/>
      <c r="S1412" s="277">
        <f>IF(OR(C1412="",C1412=T$4),NA(),MATCH($B1412&amp;$C1412,'Smelter Reference List'!$J:$J,0))</f>
        <v>442</v>
      </c>
      <c r="T1412" s="278"/>
      <c r="U1412" s="278"/>
      <c r="V1412" s="278"/>
      <c r="W1412" s="278"/>
    </row>
    <row r="1413" spans="1:23" s="269" customFormat="1" ht="20.25">
      <c r="A1413" s="267"/>
      <c r="B1413" s="275" t="s">
        <v>2437</v>
      </c>
      <c r="C1413" s="275" t="s">
        <v>3831</v>
      </c>
      <c r="D1413" s="168" t="s">
        <v>6873</v>
      </c>
      <c r="E1413" s="168" t="s">
        <v>2294</v>
      </c>
      <c r="F1413" s="168" t="s">
        <v>4623</v>
      </c>
      <c r="G1413" s="168" t="s">
        <v>4623</v>
      </c>
      <c r="H1413" s="292" t="s">
        <v>4623</v>
      </c>
      <c r="I1413" s="293" t="s">
        <v>4623</v>
      </c>
      <c r="J1413" s="293" t="s">
        <v>4623</v>
      </c>
      <c r="K1413" s="290" t="s">
        <v>4623</v>
      </c>
      <c r="L1413" s="290" t="s">
        <v>4623</v>
      </c>
      <c r="M1413" s="290" t="s">
        <v>4623</v>
      </c>
      <c r="N1413" s="290" t="s">
        <v>4623</v>
      </c>
      <c r="O1413" s="290" t="s">
        <v>4623</v>
      </c>
      <c r="P1413" s="290" t="s">
        <v>999</v>
      </c>
      <c r="Q1413" s="291" t="s">
        <v>4623</v>
      </c>
      <c r="R1413" s="276"/>
      <c r="S1413" s="277">
        <f>IF(OR(C1413="",C1413=T$4),NA(),MATCH($B1413&amp;$C1413,'Smelter Reference List'!$J:$J,0))</f>
        <v>442</v>
      </c>
      <c r="T1413" s="278"/>
      <c r="U1413" s="278"/>
      <c r="V1413" s="278"/>
      <c r="W1413" s="278"/>
    </row>
    <row r="1414" spans="1:23" s="269" customFormat="1" ht="20.25">
      <c r="A1414" s="267"/>
      <c r="B1414" s="275" t="s">
        <v>2437</v>
      </c>
      <c r="C1414" s="275" t="s">
        <v>3831</v>
      </c>
      <c r="D1414" s="168" t="s">
        <v>6874</v>
      </c>
      <c r="E1414" s="168" t="s">
        <v>2294</v>
      </c>
      <c r="F1414" s="168" t="s">
        <v>4623</v>
      </c>
      <c r="G1414" s="168" t="s">
        <v>4623</v>
      </c>
      <c r="H1414" s="292" t="s">
        <v>4623</v>
      </c>
      <c r="I1414" s="293" t="s">
        <v>4623</v>
      </c>
      <c r="J1414" s="293" t="s">
        <v>4623</v>
      </c>
      <c r="K1414" s="290" t="s">
        <v>4623</v>
      </c>
      <c r="L1414" s="290" t="s">
        <v>4623</v>
      </c>
      <c r="M1414" s="290" t="s">
        <v>4623</v>
      </c>
      <c r="N1414" s="290" t="s">
        <v>4623</v>
      </c>
      <c r="O1414" s="290" t="s">
        <v>4623</v>
      </c>
      <c r="P1414" s="290" t="s">
        <v>999</v>
      </c>
      <c r="Q1414" s="291" t="s">
        <v>4623</v>
      </c>
      <c r="R1414" s="276"/>
      <c r="S1414" s="277">
        <f>IF(OR(C1414="",C1414=T$4),NA(),MATCH($B1414&amp;$C1414,'Smelter Reference List'!$J:$J,0))</f>
        <v>442</v>
      </c>
      <c r="T1414" s="278"/>
      <c r="U1414" s="278"/>
      <c r="V1414" s="278"/>
      <c r="W1414" s="278"/>
    </row>
    <row r="1415" spans="1:23" s="269" customFormat="1" ht="20.25">
      <c r="A1415" s="267"/>
      <c r="B1415" s="275" t="s">
        <v>2437</v>
      </c>
      <c r="C1415" s="275" t="s">
        <v>3831</v>
      </c>
      <c r="D1415" s="168" t="s">
        <v>6875</v>
      </c>
      <c r="E1415" s="168" t="s">
        <v>2294</v>
      </c>
      <c r="F1415" s="168" t="s">
        <v>4623</v>
      </c>
      <c r="G1415" s="168" t="s">
        <v>4623</v>
      </c>
      <c r="H1415" s="292" t="s">
        <v>4623</v>
      </c>
      <c r="I1415" s="293" t="s">
        <v>4623</v>
      </c>
      <c r="J1415" s="293" t="s">
        <v>4623</v>
      </c>
      <c r="K1415" s="290" t="s">
        <v>4623</v>
      </c>
      <c r="L1415" s="290" t="s">
        <v>4623</v>
      </c>
      <c r="M1415" s="290" t="s">
        <v>4623</v>
      </c>
      <c r="N1415" s="290" t="s">
        <v>4623</v>
      </c>
      <c r="O1415" s="290" t="s">
        <v>4623</v>
      </c>
      <c r="P1415" s="290" t="s">
        <v>999</v>
      </c>
      <c r="Q1415" s="291" t="s">
        <v>4623</v>
      </c>
      <c r="R1415" s="276"/>
      <c r="S1415" s="277">
        <f>IF(OR(C1415="",C1415=T$4),NA(),MATCH($B1415&amp;$C1415,'Smelter Reference List'!$J:$J,0))</f>
        <v>442</v>
      </c>
      <c r="T1415" s="278"/>
      <c r="U1415" s="278"/>
      <c r="V1415" s="278"/>
      <c r="W1415" s="278"/>
    </row>
    <row r="1416" spans="1:23" s="269" customFormat="1" ht="20.25">
      <c r="A1416" s="267"/>
      <c r="B1416" s="275" t="s">
        <v>2437</v>
      </c>
      <c r="C1416" s="275" t="s">
        <v>3831</v>
      </c>
      <c r="D1416" s="168" t="s">
        <v>6876</v>
      </c>
      <c r="E1416" s="168" t="s">
        <v>2294</v>
      </c>
      <c r="F1416" s="168" t="s">
        <v>4623</v>
      </c>
      <c r="G1416" s="168" t="s">
        <v>4623</v>
      </c>
      <c r="H1416" s="292" t="s">
        <v>4623</v>
      </c>
      <c r="I1416" s="293" t="s">
        <v>4623</v>
      </c>
      <c r="J1416" s="293" t="s">
        <v>4623</v>
      </c>
      <c r="K1416" s="290" t="s">
        <v>4623</v>
      </c>
      <c r="L1416" s="290" t="s">
        <v>4623</v>
      </c>
      <c r="M1416" s="290" t="s">
        <v>4623</v>
      </c>
      <c r="N1416" s="290" t="s">
        <v>4623</v>
      </c>
      <c r="O1416" s="290" t="s">
        <v>4623</v>
      </c>
      <c r="P1416" s="290" t="s">
        <v>999</v>
      </c>
      <c r="Q1416" s="291" t="s">
        <v>4623</v>
      </c>
      <c r="R1416" s="276"/>
      <c r="S1416" s="277">
        <f>IF(OR(C1416="",C1416=T$4),NA(),MATCH($B1416&amp;$C1416,'Smelter Reference List'!$J:$J,0))</f>
        <v>442</v>
      </c>
      <c r="T1416" s="278"/>
      <c r="U1416" s="278"/>
      <c r="V1416" s="278"/>
      <c r="W1416" s="278"/>
    </row>
    <row r="1417" spans="1:23" s="269" customFormat="1" ht="20.25">
      <c r="A1417" s="267"/>
      <c r="B1417" s="275" t="s">
        <v>2437</v>
      </c>
      <c r="C1417" s="275" t="s">
        <v>3831</v>
      </c>
      <c r="D1417" s="168" t="s">
        <v>6877</v>
      </c>
      <c r="E1417" s="168" t="s">
        <v>2294</v>
      </c>
      <c r="F1417" s="168" t="s">
        <v>4623</v>
      </c>
      <c r="G1417" s="168" t="s">
        <v>4623</v>
      </c>
      <c r="H1417" s="292" t="s">
        <v>4623</v>
      </c>
      <c r="I1417" s="293" t="s">
        <v>4623</v>
      </c>
      <c r="J1417" s="293" t="s">
        <v>4623</v>
      </c>
      <c r="K1417" s="290" t="s">
        <v>4623</v>
      </c>
      <c r="L1417" s="290" t="s">
        <v>4623</v>
      </c>
      <c r="M1417" s="290" t="s">
        <v>4623</v>
      </c>
      <c r="N1417" s="290" t="s">
        <v>4623</v>
      </c>
      <c r="O1417" s="290" t="s">
        <v>4623</v>
      </c>
      <c r="P1417" s="290" t="s">
        <v>999</v>
      </c>
      <c r="Q1417" s="291" t="s">
        <v>4623</v>
      </c>
      <c r="R1417" s="276"/>
      <c r="S1417" s="277">
        <f>IF(OR(C1417="",C1417=T$4),NA(),MATCH($B1417&amp;$C1417,'Smelter Reference List'!$J:$J,0))</f>
        <v>442</v>
      </c>
      <c r="T1417" s="278"/>
      <c r="U1417" s="278"/>
      <c r="V1417" s="278"/>
      <c r="W1417" s="278"/>
    </row>
    <row r="1418" spans="1:23" s="269" customFormat="1" ht="20.25">
      <c r="A1418" s="267"/>
      <c r="B1418" s="275" t="s">
        <v>2437</v>
      </c>
      <c r="C1418" s="275" t="s">
        <v>3831</v>
      </c>
      <c r="D1418" s="168" t="s">
        <v>6878</v>
      </c>
      <c r="E1418" s="168" t="s">
        <v>2294</v>
      </c>
      <c r="F1418" s="168" t="s">
        <v>4623</v>
      </c>
      <c r="G1418" s="168" t="s">
        <v>4623</v>
      </c>
      <c r="H1418" s="292" t="s">
        <v>4623</v>
      </c>
      <c r="I1418" s="293" t="s">
        <v>4623</v>
      </c>
      <c r="J1418" s="293" t="s">
        <v>4623</v>
      </c>
      <c r="K1418" s="290" t="s">
        <v>4623</v>
      </c>
      <c r="L1418" s="290" t="s">
        <v>4623</v>
      </c>
      <c r="M1418" s="290" t="s">
        <v>4623</v>
      </c>
      <c r="N1418" s="290" t="s">
        <v>4623</v>
      </c>
      <c r="O1418" s="290" t="s">
        <v>4623</v>
      </c>
      <c r="P1418" s="290" t="s">
        <v>999</v>
      </c>
      <c r="Q1418" s="291" t="s">
        <v>4623</v>
      </c>
      <c r="R1418" s="276"/>
      <c r="S1418" s="277">
        <f>IF(OR(C1418="",C1418=T$4),NA(),MATCH($B1418&amp;$C1418,'Smelter Reference List'!$J:$J,0))</f>
        <v>442</v>
      </c>
      <c r="T1418" s="278"/>
      <c r="U1418" s="278"/>
      <c r="V1418" s="278"/>
      <c r="W1418" s="278"/>
    </row>
    <row r="1419" spans="1:23" s="269" customFormat="1" ht="20.25">
      <c r="A1419" s="267"/>
      <c r="B1419" s="275" t="s">
        <v>2437</v>
      </c>
      <c r="C1419" s="275" t="s">
        <v>3831</v>
      </c>
      <c r="D1419" s="168" t="s">
        <v>6879</v>
      </c>
      <c r="E1419" s="168" t="s">
        <v>2294</v>
      </c>
      <c r="F1419" s="168" t="s">
        <v>4623</v>
      </c>
      <c r="G1419" s="168" t="s">
        <v>4623</v>
      </c>
      <c r="H1419" s="292" t="s">
        <v>4623</v>
      </c>
      <c r="I1419" s="293" t="s">
        <v>4623</v>
      </c>
      <c r="J1419" s="293" t="s">
        <v>4623</v>
      </c>
      <c r="K1419" s="290" t="s">
        <v>4623</v>
      </c>
      <c r="L1419" s="290" t="s">
        <v>4623</v>
      </c>
      <c r="M1419" s="290" t="s">
        <v>4623</v>
      </c>
      <c r="N1419" s="290" t="s">
        <v>4623</v>
      </c>
      <c r="O1419" s="290" t="s">
        <v>4623</v>
      </c>
      <c r="P1419" s="290" t="s">
        <v>999</v>
      </c>
      <c r="Q1419" s="291" t="s">
        <v>4623</v>
      </c>
      <c r="R1419" s="276"/>
      <c r="S1419" s="277">
        <f>IF(OR(C1419="",C1419=T$4),NA(),MATCH($B1419&amp;$C1419,'Smelter Reference List'!$J:$J,0))</f>
        <v>442</v>
      </c>
      <c r="T1419" s="278"/>
      <c r="U1419" s="278"/>
      <c r="V1419" s="278"/>
      <c r="W1419" s="278"/>
    </row>
    <row r="1420" spans="1:23" s="269" customFormat="1" ht="20.25">
      <c r="A1420" s="267"/>
      <c r="B1420" s="275" t="s">
        <v>2437</v>
      </c>
      <c r="C1420" s="275" t="s">
        <v>3831</v>
      </c>
      <c r="D1420" s="168" t="s">
        <v>6880</v>
      </c>
      <c r="E1420" s="168" t="s">
        <v>2294</v>
      </c>
      <c r="F1420" s="168" t="s">
        <v>4623</v>
      </c>
      <c r="G1420" s="168" t="s">
        <v>4623</v>
      </c>
      <c r="H1420" s="292" t="s">
        <v>4623</v>
      </c>
      <c r="I1420" s="293" t="s">
        <v>4623</v>
      </c>
      <c r="J1420" s="293" t="s">
        <v>4623</v>
      </c>
      <c r="K1420" s="290" t="s">
        <v>4623</v>
      </c>
      <c r="L1420" s="290" t="s">
        <v>4623</v>
      </c>
      <c r="M1420" s="290" t="s">
        <v>4623</v>
      </c>
      <c r="N1420" s="290" t="s">
        <v>4623</v>
      </c>
      <c r="O1420" s="290" t="s">
        <v>4623</v>
      </c>
      <c r="P1420" s="290" t="s">
        <v>999</v>
      </c>
      <c r="Q1420" s="291" t="s">
        <v>4623</v>
      </c>
      <c r="R1420" s="276"/>
      <c r="S1420" s="277">
        <f>IF(OR(C1420="",C1420=T$4),NA(),MATCH($B1420&amp;$C1420,'Smelter Reference List'!$J:$J,0))</f>
        <v>442</v>
      </c>
      <c r="T1420" s="278"/>
      <c r="U1420" s="278"/>
      <c r="V1420" s="278"/>
      <c r="W1420" s="278"/>
    </row>
    <row r="1421" spans="1:23" s="269" customFormat="1" ht="20.25">
      <c r="A1421" s="267"/>
      <c r="B1421" s="275" t="s">
        <v>2437</v>
      </c>
      <c r="C1421" s="275" t="s">
        <v>3831</v>
      </c>
      <c r="D1421" s="168" t="s">
        <v>6881</v>
      </c>
      <c r="E1421" s="168" t="s">
        <v>2294</v>
      </c>
      <c r="F1421" s="168" t="s">
        <v>4623</v>
      </c>
      <c r="G1421" s="168" t="s">
        <v>4623</v>
      </c>
      <c r="H1421" s="292" t="s">
        <v>4623</v>
      </c>
      <c r="I1421" s="293" t="s">
        <v>4623</v>
      </c>
      <c r="J1421" s="293" t="s">
        <v>4623</v>
      </c>
      <c r="K1421" s="290" t="s">
        <v>4623</v>
      </c>
      <c r="L1421" s="290" t="s">
        <v>4623</v>
      </c>
      <c r="M1421" s="290" t="s">
        <v>4623</v>
      </c>
      <c r="N1421" s="290" t="s">
        <v>4623</v>
      </c>
      <c r="O1421" s="290" t="s">
        <v>4623</v>
      </c>
      <c r="P1421" s="290" t="s">
        <v>999</v>
      </c>
      <c r="Q1421" s="291" t="s">
        <v>4623</v>
      </c>
      <c r="R1421" s="276"/>
      <c r="S1421" s="277">
        <f>IF(OR(C1421="",C1421=T$4),NA(),MATCH($B1421&amp;$C1421,'Smelter Reference List'!$J:$J,0))</f>
        <v>442</v>
      </c>
      <c r="T1421" s="278"/>
      <c r="U1421" s="278"/>
      <c r="V1421" s="278"/>
      <c r="W1421" s="278"/>
    </row>
    <row r="1422" spans="1:23" s="269" customFormat="1" ht="20.25">
      <c r="A1422" s="267"/>
      <c r="B1422" s="275" t="s">
        <v>2437</v>
      </c>
      <c r="C1422" s="275" t="s">
        <v>3831</v>
      </c>
      <c r="D1422" s="168" t="s">
        <v>6882</v>
      </c>
      <c r="E1422" s="168" t="s">
        <v>2294</v>
      </c>
      <c r="F1422" s="168" t="s">
        <v>4623</v>
      </c>
      <c r="G1422" s="168" t="s">
        <v>4623</v>
      </c>
      <c r="H1422" s="292" t="s">
        <v>4623</v>
      </c>
      <c r="I1422" s="293" t="s">
        <v>4623</v>
      </c>
      <c r="J1422" s="293" t="s">
        <v>4623</v>
      </c>
      <c r="K1422" s="290" t="s">
        <v>4623</v>
      </c>
      <c r="L1422" s="290" t="s">
        <v>4623</v>
      </c>
      <c r="M1422" s="290" t="s">
        <v>4623</v>
      </c>
      <c r="N1422" s="290" t="s">
        <v>4623</v>
      </c>
      <c r="O1422" s="290" t="s">
        <v>4623</v>
      </c>
      <c r="P1422" s="290" t="s">
        <v>999</v>
      </c>
      <c r="Q1422" s="291" t="s">
        <v>4623</v>
      </c>
      <c r="R1422" s="276"/>
      <c r="S1422" s="277">
        <f>IF(OR(C1422="",C1422=T$4),NA(),MATCH($B1422&amp;$C1422,'Smelter Reference List'!$J:$J,0))</f>
        <v>442</v>
      </c>
      <c r="T1422" s="278"/>
      <c r="U1422" s="278"/>
      <c r="V1422" s="278"/>
      <c r="W1422" s="278"/>
    </row>
    <row r="1423" spans="1:23" s="269" customFormat="1" ht="20.25">
      <c r="A1423" s="267"/>
      <c r="B1423" s="275" t="s">
        <v>2437</v>
      </c>
      <c r="C1423" s="275" t="s">
        <v>3831</v>
      </c>
      <c r="D1423" s="168" t="s">
        <v>6883</v>
      </c>
      <c r="E1423" s="168" t="s">
        <v>2294</v>
      </c>
      <c r="F1423" s="168" t="s">
        <v>4623</v>
      </c>
      <c r="G1423" s="168" t="s">
        <v>4623</v>
      </c>
      <c r="H1423" s="292" t="s">
        <v>4623</v>
      </c>
      <c r="I1423" s="293" t="s">
        <v>4623</v>
      </c>
      <c r="J1423" s="293" t="s">
        <v>4623</v>
      </c>
      <c r="K1423" s="290" t="s">
        <v>4623</v>
      </c>
      <c r="L1423" s="290" t="s">
        <v>4623</v>
      </c>
      <c r="M1423" s="290" t="s">
        <v>4623</v>
      </c>
      <c r="N1423" s="290" t="s">
        <v>4623</v>
      </c>
      <c r="O1423" s="290" t="s">
        <v>4623</v>
      </c>
      <c r="P1423" s="290" t="s">
        <v>999</v>
      </c>
      <c r="Q1423" s="291" t="s">
        <v>4623</v>
      </c>
      <c r="R1423" s="276"/>
      <c r="S1423" s="277">
        <f>IF(OR(C1423="",C1423=T$4),NA(),MATCH($B1423&amp;$C1423,'Smelter Reference List'!$J:$J,0))</f>
        <v>442</v>
      </c>
      <c r="T1423" s="278"/>
      <c r="U1423" s="278"/>
      <c r="V1423" s="278"/>
      <c r="W1423" s="278"/>
    </row>
    <row r="1424" spans="1:23" s="269" customFormat="1" ht="20.25">
      <c r="A1424" s="267"/>
      <c r="B1424" s="275" t="s">
        <v>2437</v>
      </c>
      <c r="C1424" s="275" t="s">
        <v>3831</v>
      </c>
      <c r="D1424" s="168" t="s">
        <v>6884</v>
      </c>
      <c r="E1424" s="168" t="s">
        <v>2294</v>
      </c>
      <c r="F1424" s="168" t="s">
        <v>4623</v>
      </c>
      <c r="G1424" s="168" t="s">
        <v>4623</v>
      </c>
      <c r="H1424" s="292" t="s">
        <v>4623</v>
      </c>
      <c r="I1424" s="293" t="s">
        <v>4623</v>
      </c>
      <c r="J1424" s="293" t="s">
        <v>4623</v>
      </c>
      <c r="K1424" s="290" t="s">
        <v>4623</v>
      </c>
      <c r="L1424" s="290" t="s">
        <v>4623</v>
      </c>
      <c r="M1424" s="290" t="s">
        <v>4623</v>
      </c>
      <c r="N1424" s="290" t="s">
        <v>4623</v>
      </c>
      <c r="O1424" s="290" t="s">
        <v>4623</v>
      </c>
      <c r="P1424" s="290" t="s">
        <v>999</v>
      </c>
      <c r="Q1424" s="291" t="s">
        <v>4623</v>
      </c>
      <c r="R1424" s="276"/>
      <c r="S1424" s="277">
        <f>IF(OR(C1424="",C1424=T$4),NA(),MATCH($B1424&amp;$C1424,'Smelter Reference List'!$J:$J,0))</f>
        <v>442</v>
      </c>
      <c r="T1424" s="278"/>
      <c r="U1424" s="278"/>
      <c r="V1424" s="278"/>
      <c r="W1424" s="278"/>
    </row>
    <row r="1425" spans="1:23" s="269" customFormat="1" ht="20.25">
      <c r="A1425" s="267"/>
      <c r="B1425" s="275" t="s">
        <v>2437</v>
      </c>
      <c r="C1425" s="275" t="s">
        <v>3831</v>
      </c>
      <c r="D1425" s="168" t="s">
        <v>6885</v>
      </c>
      <c r="E1425" s="168" t="s">
        <v>2294</v>
      </c>
      <c r="F1425" s="168" t="s">
        <v>4623</v>
      </c>
      <c r="G1425" s="168" t="s">
        <v>4623</v>
      </c>
      <c r="H1425" s="292" t="s">
        <v>4623</v>
      </c>
      <c r="I1425" s="293" t="s">
        <v>4623</v>
      </c>
      <c r="J1425" s="293" t="s">
        <v>4623</v>
      </c>
      <c r="K1425" s="290" t="s">
        <v>4623</v>
      </c>
      <c r="L1425" s="290" t="s">
        <v>4623</v>
      </c>
      <c r="M1425" s="290" t="s">
        <v>4623</v>
      </c>
      <c r="N1425" s="290" t="s">
        <v>4623</v>
      </c>
      <c r="O1425" s="290" t="s">
        <v>4623</v>
      </c>
      <c r="P1425" s="290" t="s">
        <v>999</v>
      </c>
      <c r="Q1425" s="291" t="s">
        <v>4623</v>
      </c>
      <c r="R1425" s="276"/>
      <c r="S1425" s="277">
        <f>IF(OR(C1425="",C1425=T$4),NA(),MATCH($B1425&amp;$C1425,'Smelter Reference List'!$J:$J,0))</f>
        <v>442</v>
      </c>
      <c r="T1425" s="278"/>
      <c r="U1425" s="278"/>
      <c r="V1425" s="278"/>
      <c r="W1425" s="278"/>
    </row>
    <row r="1426" spans="1:23" s="269" customFormat="1" ht="20.25">
      <c r="A1426" s="267"/>
      <c r="B1426" s="275" t="s">
        <v>2437</v>
      </c>
      <c r="C1426" s="275" t="s">
        <v>3831</v>
      </c>
      <c r="D1426" s="168" t="s">
        <v>6886</v>
      </c>
      <c r="E1426" s="168" t="s">
        <v>2294</v>
      </c>
      <c r="F1426" s="168" t="s">
        <v>4623</v>
      </c>
      <c r="G1426" s="168" t="s">
        <v>4623</v>
      </c>
      <c r="H1426" s="292" t="s">
        <v>4623</v>
      </c>
      <c r="I1426" s="293" t="s">
        <v>4623</v>
      </c>
      <c r="J1426" s="293" t="s">
        <v>4623</v>
      </c>
      <c r="K1426" s="290" t="s">
        <v>4623</v>
      </c>
      <c r="L1426" s="290" t="s">
        <v>4623</v>
      </c>
      <c r="M1426" s="290" t="s">
        <v>4623</v>
      </c>
      <c r="N1426" s="290" t="s">
        <v>4623</v>
      </c>
      <c r="O1426" s="290" t="s">
        <v>4623</v>
      </c>
      <c r="P1426" s="290" t="s">
        <v>999</v>
      </c>
      <c r="Q1426" s="291" t="s">
        <v>4623</v>
      </c>
      <c r="R1426" s="276"/>
      <c r="S1426" s="277">
        <f>IF(OR(C1426="",C1426=T$4),NA(),MATCH($B1426&amp;$C1426,'Smelter Reference List'!$J:$J,0))</f>
        <v>442</v>
      </c>
      <c r="T1426" s="278"/>
      <c r="U1426" s="278"/>
      <c r="V1426" s="278"/>
      <c r="W1426" s="278"/>
    </row>
    <row r="1427" spans="1:23" s="269" customFormat="1" ht="20.25">
      <c r="A1427" s="267"/>
      <c r="B1427" s="275" t="s">
        <v>2437</v>
      </c>
      <c r="C1427" s="275" t="s">
        <v>3831</v>
      </c>
      <c r="D1427" s="168" t="s">
        <v>6887</v>
      </c>
      <c r="E1427" s="168" t="s">
        <v>2294</v>
      </c>
      <c r="F1427" s="168" t="s">
        <v>4623</v>
      </c>
      <c r="G1427" s="168" t="s">
        <v>4623</v>
      </c>
      <c r="H1427" s="292" t="s">
        <v>4623</v>
      </c>
      <c r="I1427" s="293" t="s">
        <v>4623</v>
      </c>
      <c r="J1427" s="293" t="s">
        <v>4623</v>
      </c>
      <c r="K1427" s="290" t="s">
        <v>4623</v>
      </c>
      <c r="L1427" s="290" t="s">
        <v>4623</v>
      </c>
      <c r="M1427" s="290" t="s">
        <v>4623</v>
      </c>
      <c r="N1427" s="290" t="s">
        <v>4623</v>
      </c>
      <c r="O1427" s="290" t="s">
        <v>4623</v>
      </c>
      <c r="P1427" s="290" t="s">
        <v>999</v>
      </c>
      <c r="Q1427" s="291" t="s">
        <v>4623</v>
      </c>
      <c r="R1427" s="276"/>
      <c r="S1427" s="277">
        <f>IF(OR(C1427="",C1427=T$4),NA(),MATCH($B1427&amp;$C1427,'Smelter Reference List'!$J:$J,0))</f>
        <v>442</v>
      </c>
      <c r="T1427" s="278"/>
      <c r="U1427" s="278"/>
      <c r="V1427" s="278"/>
      <c r="W1427" s="278"/>
    </row>
    <row r="1428" spans="1:23" s="269" customFormat="1" ht="20.25">
      <c r="A1428" s="267"/>
      <c r="B1428" s="275" t="s">
        <v>2437</v>
      </c>
      <c r="C1428" s="275" t="s">
        <v>3831</v>
      </c>
      <c r="D1428" s="168" t="s">
        <v>6888</v>
      </c>
      <c r="E1428" s="168" t="s">
        <v>2294</v>
      </c>
      <c r="F1428" s="168" t="s">
        <v>4623</v>
      </c>
      <c r="G1428" s="168" t="s">
        <v>4623</v>
      </c>
      <c r="H1428" s="292" t="s">
        <v>4623</v>
      </c>
      <c r="I1428" s="293" t="s">
        <v>4623</v>
      </c>
      <c r="J1428" s="293" t="s">
        <v>4623</v>
      </c>
      <c r="K1428" s="290" t="s">
        <v>4623</v>
      </c>
      <c r="L1428" s="290" t="s">
        <v>4623</v>
      </c>
      <c r="M1428" s="290" t="s">
        <v>4623</v>
      </c>
      <c r="N1428" s="290" t="s">
        <v>4623</v>
      </c>
      <c r="O1428" s="290" t="s">
        <v>4623</v>
      </c>
      <c r="P1428" s="290" t="s">
        <v>999</v>
      </c>
      <c r="Q1428" s="291" t="s">
        <v>4623</v>
      </c>
      <c r="R1428" s="276"/>
      <c r="S1428" s="277">
        <f>IF(OR(C1428="",C1428=T$4),NA(),MATCH($B1428&amp;$C1428,'Smelter Reference List'!$J:$J,0))</f>
        <v>442</v>
      </c>
      <c r="T1428" s="278"/>
      <c r="U1428" s="278"/>
      <c r="V1428" s="278"/>
      <c r="W1428" s="278"/>
    </row>
    <row r="1429" spans="1:23" s="269" customFormat="1" ht="20.25">
      <c r="A1429" s="267"/>
      <c r="B1429" s="275" t="s">
        <v>2437</v>
      </c>
      <c r="C1429" s="275" t="s">
        <v>3831</v>
      </c>
      <c r="D1429" s="168" t="s">
        <v>6889</v>
      </c>
      <c r="E1429" s="168" t="s">
        <v>2294</v>
      </c>
      <c r="F1429" s="168" t="s">
        <v>4623</v>
      </c>
      <c r="G1429" s="168" t="s">
        <v>4623</v>
      </c>
      <c r="H1429" s="292" t="s">
        <v>4623</v>
      </c>
      <c r="I1429" s="293" t="s">
        <v>4623</v>
      </c>
      <c r="J1429" s="293" t="s">
        <v>4623</v>
      </c>
      <c r="K1429" s="290" t="s">
        <v>4623</v>
      </c>
      <c r="L1429" s="290" t="s">
        <v>4623</v>
      </c>
      <c r="M1429" s="290" t="s">
        <v>4623</v>
      </c>
      <c r="N1429" s="290" t="s">
        <v>4623</v>
      </c>
      <c r="O1429" s="290" t="s">
        <v>4623</v>
      </c>
      <c r="P1429" s="290" t="s">
        <v>999</v>
      </c>
      <c r="Q1429" s="291" t="s">
        <v>4623</v>
      </c>
      <c r="R1429" s="276"/>
      <c r="S1429" s="277">
        <f>IF(OR(C1429="",C1429=T$4),NA(),MATCH($B1429&amp;$C1429,'Smelter Reference List'!$J:$J,0))</f>
        <v>442</v>
      </c>
      <c r="T1429" s="278"/>
      <c r="U1429" s="278"/>
      <c r="V1429" s="278"/>
      <c r="W1429" s="278"/>
    </row>
    <row r="1430" spans="1:23" s="269" customFormat="1" ht="20.25">
      <c r="A1430" s="267"/>
      <c r="B1430" s="275" t="s">
        <v>2437</v>
      </c>
      <c r="C1430" s="275" t="s">
        <v>3831</v>
      </c>
      <c r="D1430" s="168" t="s">
        <v>6890</v>
      </c>
      <c r="E1430" s="168" t="s">
        <v>2294</v>
      </c>
      <c r="F1430" s="168" t="s">
        <v>4623</v>
      </c>
      <c r="G1430" s="168" t="s">
        <v>4623</v>
      </c>
      <c r="H1430" s="292" t="s">
        <v>5301</v>
      </c>
      <c r="I1430" s="293" t="s">
        <v>4673</v>
      </c>
      <c r="J1430" s="293" t="s">
        <v>4769</v>
      </c>
      <c r="K1430" s="290" t="s">
        <v>5302</v>
      </c>
      <c r="L1430" s="290" t="s">
        <v>4769</v>
      </c>
      <c r="M1430" s="290" t="s">
        <v>4623</v>
      </c>
      <c r="N1430" s="290" t="s">
        <v>4667</v>
      </c>
      <c r="O1430" s="290" t="s">
        <v>4623</v>
      </c>
      <c r="P1430" s="290" t="s">
        <v>999</v>
      </c>
      <c r="Q1430" s="291" t="s">
        <v>4623</v>
      </c>
      <c r="R1430" s="276"/>
      <c r="S1430" s="277">
        <f>IF(OR(C1430="",C1430=T$4),NA(),MATCH($B1430&amp;$C1430,'Smelter Reference List'!$J:$J,0))</f>
        <v>442</v>
      </c>
      <c r="T1430" s="278"/>
      <c r="U1430" s="278"/>
      <c r="V1430" s="278"/>
      <c r="W1430" s="278"/>
    </row>
    <row r="1431" spans="1:23" s="269" customFormat="1" ht="20.25">
      <c r="A1431" s="267"/>
      <c r="B1431" s="275" t="s">
        <v>2437</v>
      </c>
      <c r="C1431" s="275" t="s">
        <v>3831</v>
      </c>
      <c r="D1431" s="168" t="s">
        <v>6891</v>
      </c>
      <c r="E1431" s="168" t="s">
        <v>2294</v>
      </c>
      <c r="F1431" s="168" t="s">
        <v>4623</v>
      </c>
      <c r="G1431" s="168" t="s">
        <v>4623</v>
      </c>
      <c r="H1431" s="292" t="s">
        <v>4623</v>
      </c>
      <c r="I1431" s="293" t="s">
        <v>4623</v>
      </c>
      <c r="J1431" s="293" t="s">
        <v>4623</v>
      </c>
      <c r="K1431" s="290" t="s">
        <v>4623</v>
      </c>
      <c r="L1431" s="290" t="s">
        <v>4623</v>
      </c>
      <c r="M1431" s="290" t="s">
        <v>4623</v>
      </c>
      <c r="N1431" s="290" t="s">
        <v>4623</v>
      </c>
      <c r="O1431" s="290" t="s">
        <v>4623</v>
      </c>
      <c r="P1431" s="290" t="s">
        <v>999</v>
      </c>
      <c r="Q1431" s="291" t="s">
        <v>4623</v>
      </c>
      <c r="R1431" s="276"/>
      <c r="S1431" s="277">
        <f>IF(OR(C1431="",C1431=T$4),NA(),MATCH($B1431&amp;$C1431,'Smelter Reference List'!$J:$J,0))</f>
        <v>442</v>
      </c>
      <c r="T1431" s="278"/>
      <c r="U1431" s="278"/>
      <c r="V1431" s="278"/>
      <c r="W1431" s="278"/>
    </row>
    <row r="1432" spans="1:23" s="269" customFormat="1" ht="20.25">
      <c r="A1432" s="267"/>
      <c r="B1432" s="275" t="s">
        <v>2437</v>
      </c>
      <c r="C1432" s="275" t="s">
        <v>3831</v>
      </c>
      <c r="D1432" s="168" t="s">
        <v>6892</v>
      </c>
      <c r="E1432" s="168" t="s">
        <v>2294</v>
      </c>
      <c r="F1432" s="168" t="s">
        <v>4623</v>
      </c>
      <c r="G1432" s="168" t="s">
        <v>4623</v>
      </c>
      <c r="H1432" s="292" t="s">
        <v>3364</v>
      </c>
      <c r="I1432" s="293" t="s">
        <v>4623</v>
      </c>
      <c r="J1432" s="293" t="s">
        <v>4623</v>
      </c>
      <c r="K1432" s="290" t="s">
        <v>4623</v>
      </c>
      <c r="L1432" s="290" t="s">
        <v>4623</v>
      </c>
      <c r="M1432" s="290" t="s">
        <v>4623</v>
      </c>
      <c r="N1432" s="290" t="s">
        <v>4623</v>
      </c>
      <c r="O1432" s="290" t="s">
        <v>4623</v>
      </c>
      <c r="P1432" s="290" t="s">
        <v>999</v>
      </c>
      <c r="Q1432" s="291" t="s">
        <v>4623</v>
      </c>
      <c r="R1432" s="276"/>
      <c r="S1432" s="277">
        <f>IF(OR(C1432="",C1432=T$4),NA(),MATCH($B1432&amp;$C1432,'Smelter Reference List'!$J:$J,0))</f>
        <v>442</v>
      </c>
      <c r="T1432" s="278"/>
      <c r="U1432" s="278"/>
      <c r="V1432" s="278"/>
      <c r="W1432" s="278"/>
    </row>
    <row r="1433" spans="1:23" s="269" customFormat="1" ht="20.25">
      <c r="A1433" s="267"/>
      <c r="B1433" s="275" t="s">
        <v>2437</v>
      </c>
      <c r="C1433" s="275" t="s">
        <v>3831</v>
      </c>
      <c r="D1433" s="168" t="s">
        <v>6893</v>
      </c>
      <c r="E1433" s="168" t="s">
        <v>2294</v>
      </c>
      <c r="F1433" s="168" t="s">
        <v>4623</v>
      </c>
      <c r="G1433" s="168" t="s">
        <v>4623</v>
      </c>
      <c r="H1433" s="292" t="s">
        <v>4623</v>
      </c>
      <c r="I1433" s="293" t="s">
        <v>4623</v>
      </c>
      <c r="J1433" s="293" t="s">
        <v>4623</v>
      </c>
      <c r="K1433" s="290" t="s">
        <v>4623</v>
      </c>
      <c r="L1433" s="290" t="s">
        <v>4623</v>
      </c>
      <c r="M1433" s="290" t="s">
        <v>4623</v>
      </c>
      <c r="N1433" s="290" t="s">
        <v>4623</v>
      </c>
      <c r="O1433" s="290" t="s">
        <v>4623</v>
      </c>
      <c r="P1433" s="290" t="s">
        <v>999</v>
      </c>
      <c r="Q1433" s="291" t="s">
        <v>4623</v>
      </c>
      <c r="R1433" s="276"/>
      <c r="S1433" s="277">
        <f>IF(OR(C1433="",C1433=T$4),NA(),MATCH($B1433&amp;$C1433,'Smelter Reference List'!$J:$J,0))</f>
        <v>442</v>
      </c>
      <c r="T1433" s="278"/>
      <c r="U1433" s="278"/>
      <c r="V1433" s="278"/>
      <c r="W1433" s="278"/>
    </row>
    <row r="1434" spans="1:23" s="269" customFormat="1" ht="20.25">
      <c r="A1434" s="267"/>
      <c r="B1434" s="275" t="s">
        <v>2437</v>
      </c>
      <c r="C1434" s="275" t="s">
        <v>3831</v>
      </c>
      <c r="D1434" s="168" t="s">
        <v>6894</v>
      </c>
      <c r="E1434" s="168" t="s">
        <v>2294</v>
      </c>
      <c r="F1434" s="168" t="s">
        <v>4623</v>
      </c>
      <c r="G1434" s="168" t="s">
        <v>4623</v>
      </c>
      <c r="H1434" s="292" t="s">
        <v>4623</v>
      </c>
      <c r="I1434" s="293" t="s">
        <v>4623</v>
      </c>
      <c r="J1434" s="293" t="s">
        <v>4623</v>
      </c>
      <c r="K1434" s="290" t="s">
        <v>4623</v>
      </c>
      <c r="L1434" s="290" t="s">
        <v>4623</v>
      </c>
      <c r="M1434" s="290" t="s">
        <v>4623</v>
      </c>
      <c r="N1434" s="290" t="s">
        <v>4623</v>
      </c>
      <c r="O1434" s="290" t="s">
        <v>4623</v>
      </c>
      <c r="P1434" s="290" t="s">
        <v>999</v>
      </c>
      <c r="Q1434" s="291" t="s">
        <v>4623</v>
      </c>
      <c r="R1434" s="276"/>
      <c r="S1434" s="277">
        <f>IF(OR(C1434="",C1434=T$4),NA(),MATCH($B1434&amp;$C1434,'Smelter Reference List'!$J:$J,0))</f>
        <v>442</v>
      </c>
      <c r="T1434" s="278"/>
      <c r="U1434" s="278"/>
      <c r="V1434" s="278"/>
      <c r="W1434" s="278"/>
    </row>
    <row r="1435" spans="1:23" s="269" customFormat="1" ht="20.25">
      <c r="A1435" s="267"/>
      <c r="B1435" s="275" t="s">
        <v>2437</v>
      </c>
      <c r="C1435" s="275" t="s">
        <v>3831</v>
      </c>
      <c r="D1435" s="168" t="s">
        <v>6895</v>
      </c>
      <c r="E1435" s="168" t="s">
        <v>2294</v>
      </c>
      <c r="F1435" s="168" t="s">
        <v>4623</v>
      </c>
      <c r="G1435" s="168" t="s">
        <v>4623</v>
      </c>
      <c r="H1435" s="292" t="s">
        <v>4623</v>
      </c>
      <c r="I1435" s="293" t="s">
        <v>4623</v>
      </c>
      <c r="J1435" s="293" t="s">
        <v>4623</v>
      </c>
      <c r="K1435" s="290" t="s">
        <v>4623</v>
      </c>
      <c r="L1435" s="290" t="s">
        <v>4623</v>
      </c>
      <c r="M1435" s="290" t="s">
        <v>4623</v>
      </c>
      <c r="N1435" s="290" t="s">
        <v>4623</v>
      </c>
      <c r="O1435" s="290" t="s">
        <v>4623</v>
      </c>
      <c r="P1435" s="290" t="s">
        <v>999</v>
      </c>
      <c r="Q1435" s="291" t="s">
        <v>4623</v>
      </c>
      <c r="R1435" s="276"/>
      <c r="S1435" s="277">
        <f>IF(OR(C1435="",C1435=T$4),NA(),MATCH($B1435&amp;$C1435,'Smelter Reference List'!$J:$J,0))</f>
        <v>442</v>
      </c>
      <c r="T1435" s="278"/>
      <c r="U1435" s="278"/>
      <c r="V1435" s="278"/>
      <c r="W1435" s="278"/>
    </row>
    <row r="1436" spans="1:23" s="269" customFormat="1" ht="20.25">
      <c r="A1436" s="267"/>
      <c r="B1436" s="275" t="s">
        <v>2437</v>
      </c>
      <c r="C1436" s="275" t="s">
        <v>3831</v>
      </c>
      <c r="D1436" s="168" t="s">
        <v>6896</v>
      </c>
      <c r="E1436" s="168" t="s">
        <v>2294</v>
      </c>
      <c r="F1436" s="168" t="s">
        <v>4623</v>
      </c>
      <c r="G1436" s="168" t="s">
        <v>4623</v>
      </c>
      <c r="H1436" s="292" t="s">
        <v>4623</v>
      </c>
      <c r="I1436" s="293" t="s">
        <v>4623</v>
      </c>
      <c r="J1436" s="293" t="s">
        <v>4623</v>
      </c>
      <c r="K1436" s="290" t="s">
        <v>4623</v>
      </c>
      <c r="L1436" s="290" t="s">
        <v>4623</v>
      </c>
      <c r="M1436" s="290" t="s">
        <v>4623</v>
      </c>
      <c r="N1436" s="290" t="s">
        <v>4623</v>
      </c>
      <c r="O1436" s="290" t="s">
        <v>4623</v>
      </c>
      <c r="P1436" s="290" t="s">
        <v>999</v>
      </c>
      <c r="Q1436" s="291" t="s">
        <v>4623</v>
      </c>
      <c r="R1436" s="276"/>
      <c r="S1436" s="277">
        <f>IF(OR(C1436="",C1436=T$4),NA(),MATCH($B1436&amp;$C1436,'Smelter Reference List'!$J:$J,0))</f>
        <v>442</v>
      </c>
      <c r="T1436" s="278"/>
      <c r="U1436" s="278"/>
      <c r="V1436" s="278"/>
      <c r="W1436" s="278"/>
    </row>
    <row r="1437" spans="1:23" s="269" customFormat="1" ht="20.25">
      <c r="A1437" s="267"/>
      <c r="B1437" s="275" t="s">
        <v>2437</v>
      </c>
      <c r="C1437" s="275" t="s">
        <v>3831</v>
      </c>
      <c r="D1437" s="168" t="s">
        <v>6897</v>
      </c>
      <c r="E1437" s="168" t="s">
        <v>2294</v>
      </c>
      <c r="F1437" s="168" t="s">
        <v>4623</v>
      </c>
      <c r="G1437" s="168" t="s">
        <v>4623</v>
      </c>
      <c r="H1437" s="292" t="s">
        <v>4623</v>
      </c>
      <c r="I1437" s="293" t="s">
        <v>4623</v>
      </c>
      <c r="J1437" s="293" t="s">
        <v>4623</v>
      </c>
      <c r="K1437" s="290" t="s">
        <v>4623</v>
      </c>
      <c r="L1437" s="290" t="s">
        <v>4623</v>
      </c>
      <c r="M1437" s="290" t="s">
        <v>4623</v>
      </c>
      <c r="N1437" s="290" t="s">
        <v>4623</v>
      </c>
      <c r="O1437" s="290" t="s">
        <v>4623</v>
      </c>
      <c r="P1437" s="290" t="s">
        <v>999</v>
      </c>
      <c r="Q1437" s="291" t="s">
        <v>4623</v>
      </c>
      <c r="R1437" s="276"/>
      <c r="S1437" s="277">
        <f>IF(OR(C1437="",C1437=T$4),NA(),MATCH($B1437&amp;$C1437,'Smelter Reference List'!$J:$J,0))</f>
        <v>442</v>
      </c>
      <c r="T1437" s="278"/>
      <c r="U1437" s="278"/>
      <c r="V1437" s="278"/>
      <c r="W1437" s="278"/>
    </row>
    <row r="1438" spans="1:23" s="269" customFormat="1" ht="20.25">
      <c r="A1438" s="267"/>
      <c r="B1438" s="275" t="s">
        <v>2437</v>
      </c>
      <c r="C1438" s="275" t="s">
        <v>3831</v>
      </c>
      <c r="D1438" s="168" t="s">
        <v>5306</v>
      </c>
      <c r="E1438" s="168" t="s">
        <v>2294</v>
      </c>
      <c r="F1438" s="168" t="s">
        <v>4623</v>
      </c>
      <c r="G1438" s="168" t="s">
        <v>4623</v>
      </c>
      <c r="H1438" s="292" t="s">
        <v>6898</v>
      </c>
      <c r="I1438" s="293" t="s">
        <v>6899</v>
      </c>
      <c r="J1438" s="293" t="s">
        <v>3442</v>
      </c>
      <c r="K1438" s="290" t="s">
        <v>5352</v>
      </c>
      <c r="L1438" s="290" t="s">
        <v>5310</v>
      </c>
      <c r="M1438" s="290" t="s">
        <v>3364</v>
      </c>
      <c r="N1438" s="290" t="s">
        <v>4623</v>
      </c>
      <c r="O1438" s="290" t="s">
        <v>4623</v>
      </c>
      <c r="P1438" s="290" t="s">
        <v>999</v>
      </c>
      <c r="Q1438" s="291" t="s">
        <v>4623</v>
      </c>
      <c r="R1438" s="276"/>
      <c r="S1438" s="277">
        <f>IF(OR(C1438="",C1438=T$4),NA(),MATCH($B1438&amp;$C1438,'Smelter Reference List'!$J:$J,0))</f>
        <v>442</v>
      </c>
      <c r="T1438" s="278"/>
      <c r="U1438" s="278"/>
      <c r="V1438" s="278"/>
      <c r="W1438" s="278"/>
    </row>
    <row r="1439" spans="1:23" s="269" customFormat="1" ht="20.25">
      <c r="A1439" s="267"/>
      <c r="B1439" s="275" t="s">
        <v>2437</v>
      </c>
      <c r="C1439" s="275" t="s">
        <v>3831</v>
      </c>
      <c r="D1439" s="168" t="s">
        <v>6900</v>
      </c>
      <c r="E1439" s="168" t="s">
        <v>2294</v>
      </c>
      <c r="F1439" s="168" t="s">
        <v>4623</v>
      </c>
      <c r="G1439" s="168" t="s">
        <v>4623</v>
      </c>
      <c r="H1439" s="292" t="s">
        <v>4623</v>
      </c>
      <c r="I1439" s="293" t="s">
        <v>4623</v>
      </c>
      <c r="J1439" s="293" t="s">
        <v>4623</v>
      </c>
      <c r="K1439" s="290" t="s">
        <v>4623</v>
      </c>
      <c r="L1439" s="290" t="s">
        <v>4623</v>
      </c>
      <c r="M1439" s="290" t="s">
        <v>4623</v>
      </c>
      <c r="N1439" s="290" t="s">
        <v>4623</v>
      </c>
      <c r="O1439" s="290" t="s">
        <v>4623</v>
      </c>
      <c r="P1439" s="290" t="s">
        <v>999</v>
      </c>
      <c r="Q1439" s="291" t="s">
        <v>4623</v>
      </c>
      <c r="R1439" s="276"/>
      <c r="S1439" s="277">
        <f>IF(OR(C1439="",C1439=T$4),NA(),MATCH($B1439&amp;$C1439,'Smelter Reference List'!$J:$J,0))</f>
        <v>442</v>
      </c>
      <c r="T1439" s="278"/>
      <c r="U1439" s="278"/>
      <c r="V1439" s="278"/>
      <c r="W1439" s="278"/>
    </row>
    <row r="1440" spans="1:23" s="269" customFormat="1" ht="20.25">
      <c r="A1440" s="267"/>
      <c r="B1440" s="275" t="s">
        <v>2437</v>
      </c>
      <c r="C1440" s="275" t="s">
        <v>3831</v>
      </c>
      <c r="D1440" s="168" t="s">
        <v>6901</v>
      </c>
      <c r="E1440" s="168" t="s">
        <v>2294</v>
      </c>
      <c r="F1440" s="168" t="s">
        <v>4623</v>
      </c>
      <c r="G1440" s="168" t="s">
        <v>4623</v>
      </c>
      <c r="H1440" s="292" t="s">
        <v>4623</v>
      </c>
      <c r="I1440" s="293" t="s">
        <v>4623</v>
      </c>
      <c r="J1440" s="293" t="s">
        <v>4623</v>
      </c>
      <c r="K1440" s="290" t="s">
        <v>4623</v>
      </c>
      <c r="L1440" s="290" t="s">
        <v>4623</v>
      </c>
      <c r="M1440" s="290" t="s">
        <v>4623</v>
      </c>
      <c r="N1440" s="290" t="s">
        <v>4623</v>
      </c>
      <c r="O1440" s="290" t="s">
        <v>4623</v>
      </c>
      <c r="P1440" s="290" t="s">
        <v>999</v>
      </c>
      <c r="Q1440" s="291" t="s">
        <v>4623</v>
      </c>
      <c r="R1440" s="276"/>
      <c r="S1440" s="277">
        <f>IF(OR(C1440="",C1440=T$4),NA(),MATCH($B1440&amp;$C1440,'Smelter Reference List'!$J:$J,0))</f>
        <v>442</v>
      </c>
      <c r="T1440" s="278"/>
      <c r="U1440" s="278"/>
      <c r="V1440" s="278"/>
      <c r="W1440" s="278"/>
    </row>
    <row r="1441" spans="1:23" s="269" customFormat="1" ht="20.25">
      <c r="A1441" s="267"/>
      <c r="B1441" s="275" t="s">
        <v>2437</v>
      </c>
      <c r="C1441" s="275" t="s">
        <v>3831</v>
      </c>
      <c r="D1441" s="168" t="s">
        <v>6902</v>
      </c>
      <c r="E1441" s="168" t="s">
        <v>2294</v>
      </c>
      <c r="F1441" s="168" t="s">
        <v>4623</v>
      </c>
      <c r="G1441" s="168" t="s">
        <v>4623</v>
      </c>
      <c r="H1441" s="292" t="s">
        <v>4623</v>
      </c>
      <c r="I1441" s="293" t="s">
        <v>4623</v>
      </c>
      <c r="J1441" s="293" t="s">
        <v>4623</v>
      </c>
      <c r="K1441" s="290" t="s">
        <v>4623</v>
      </c>
      <c r="L1441" s="290" t="s">
        <v>4623</v>
      </c>
      <c r="M1441" s="290" t="s">
        <v>4623</v>
      </c>
      <c r="N1441" s="290" t="s">
        <v>4623</v>
      </c>
      <c r="O1441" s="290" t="s">
        <v>4623</v>
      </c>
      <c r="P1441" s="290" t="s">
        <v>999</v>
      </c>
      <c r="Q1441" s="291" t="s">
        <v>4623</v>
      </c>
      <c r="R1441" s="276"/>
      <c r="S1441" s="277">
        <f>IF(OR(C1441="",C1441=T$4),NA(),MATCH($B1441&amp;$C1441,'Smelter Reference List'!$J:$J,0))</f>
        <v>442</v>
      </c>
      <c r="T1441" s="278"/>
      <c r="U1441" s="278"/>
      <c r="V1441" s="278"/>
      <c r="W1441" s="278"/>
    </row>
    <row r="1442" spans="1:23" s="269" customFormat="1" ht="20.25">
      <c r="A1442" s="267"/>
      <c r="B1442" s="275" t="s">
        <v>2437</v>
      </c>
      <c r="C1442" s="275" t="s">
        <v>3831</v>
      </c>
      <c r="D1442" s="168" t="s">
        <v>6903</v>
      </c>
      <c r="E1442" s="168" t="s">
        <v>2294</v>
      </c>
      <c r="F1442" s="168" t="s">
        <v>4623</v>
      </c>
      <c r="G1442" s="168" t="s">
        <v>4623</v>
      </c>
      <c r="H1442" s="292" t="s">
        <v>4623</v>
      </c>
      <c r="I1442" s="293" t="s">
        <v>4623</v>
      </c>
      <c r="J1442" s="293" t="s">
        <v>4623</v>
      </c>
      <c r="K1442" s="290" t="s">
        <v>4623</v>
      </c>
      <c r="L1442" s="290" t="s">
        <v>4623</v>
      </c>
      <c r="M1442" s="290" t="s">
        <v>4623</v>
      </c>
      <c r="N1442" s="290" t="s">
        <v>4623</v>
      </c>
      <c r="O1442" s="290" t="s">
        <v>4623</v>
      </c>
      <c r="P1442" s="290" t="s">
        <v>999</v>
      </c>
      <c r="Q1442" s="291" t="s">
        <v>4623</v>
      </c>
      <c r="R1442" s="276"/>
      <c r="S1442" s="277">
        <f>IF(OR(C1442="",C1442=T$4),NA(),MATCH($B1442&amp;$C1442,'Smelter Reference List'!$J:$J,0))</f>
        <v>442</v>
      </c>
      <c r="T1442" s="278"/>
      <c r="U1442" s="278"/>
      <c r="V1442" s="278"/>
      <c r="W1442" s="278"/>
    </row>
    <row r="1443" spans="1:23" s="269" customFormat="1" ht="20.25">
      <c r="A1443" s="267"/>
      <c r="B1443" s="275" t="s">
        <v>2437</v>
      </c>
      <c r="C1443" s="275" t="s">
        <v>3831</v>
      </c>
      <c r="D1443" s="168" t="s">
        <v>6904</v>
      </c>
      <c r="E1443" s="168" t="s">
        <v>2294</v>
      </c>
      <c r="F1443" s="168" t="s">
        <v>4623</v>
      </c>
      <c r="G1443" s="168" t="s">
        <v>4623</v>
      </c>
      <c r="H1443" s="292" t="s">
        <v>3364</v>
      </c>
      <c r="I1443" s="293" t="s">
        <v>4623</v>
      </c>
      <c r="J1443" s="293" t="s">
        <v>6905</v>
      </c>
      <c r="K1443" s="290" t="s">
        <v>6906</v>
      </c>
      <c r="L1443" s="290" t="s">
        <v>4623</v>
      </c>
      <c r="M1443" s="290" t="s">
        <v>4628</v>
      </c>
      <c r="N1443" s="290" t="s">
        <v>4628</v>
      </c>
      <c r="O1443" s="290" t="s">
        <v>4623</v>
      </c>
      <c r="P1443" s="290" t="s">
        <v>999</v>
      </c>
      <c r="Q1443" s="291" t="s">
        <v>4623</v>
      </c>
      <c r="R1443" s="276"/>
      <c r="S1443" s="277">
        <f>IF(OR(C1443="",C1443=T$4),NA(),MATCH($B1443&amp;$C1443,'Smelter Reference List'!$J:$J,0))</f>
        <v>442</v>
      </c>
      <c r="T1443" s="278"/>
      <c r="U1443" s="278"/>
      <c r="V1443" s="278"/>
      <c r="W1443" s="278"/>
    </row>
    <row r="1444" spans="1:23" s="269" customFormat="1" ht="20.25">
      <c r="A1444" s="267"/>
      <c r="B1444" s="275" t="s">
        <v>2437</v>
      </c>
      <c r="C1444" s="275" t="s">
        <v>3831</v>
      </c>
      <c r="D1444" s="168" t="s">
        <v>6907</v>
      </c>
      <c r="E1444" s="168" t="s">
        <v>2294</v>
      </c>
      <c r="F1444" s="168" t="s">
        <v>4623</v>
      </c>
      <c r="G1444" s="168" t="s">
        <v>4623</v>
      </c>
      <c r="H1444" s="292" t="s">
        <v>4623</v>
      </c>
      <c r="I1444" s="293" t="s">
        <v>4623</v>
      </c>
      <c r="J1444" s="293" t="s">
        <v>4623</v>
      </c>
      <c r="K1444" s="290" t="s">
        <v>4623</v>
      </c>
      <c r="L1444" s="290" t="s">
        <v>4623</v>
      </c>
      <c r="M1444" s="290" t="s">
        <v>4623</v>
      </c>
      <c r="N1444" s="290" t="s">
        <v>4623</v>
      </c>
      <c r="O1444" s="290" t="s">
        <v>4623</v>
      </c>
      <c r="P1444" s="290" t="s">
        <v>999</v>
      </c>
      <c r="Q1444" s="291" t="s">
        <v>4623</v>
      </c>
      <c r="R1444" s="276"/>
      <c r="S1444" s="277">
        <f>IF(OR(C1444="",C1444=T$4),NA(),MATCH($B1444&amp;$C1444,'Smelter Reference List'!$J:$J,0))</f>
        <v>442</v>
      </c>
      <c r="T1444" s="278"/>
      <c r="U1444" s="278"/>
      <c r="V1444" s="278"/>
      <c r="W1444" s="278"/>
    </row>
    <row r="1445" spans="1:23" s="269" customFormat="1" ht="20.25">
      <c r="A1445" s="267"/>
      <c r="B1445" s="275" t="s">
        <v>2437</v>
      </c>
      <c r="C1445" s="275" t="s">
        <v>3831</v>
      </c>
      <c r="D1445" s="168" t="s">
        <v>5314</v>
      </c>
      <c r="E1445" s="168" t="s">
        <v>2294</v>
      </c>
      <c r="F1445" s="168" t="s">
        <v>4623</v>
      </c>
      <c r="G1445" s="168" t="s">
        <v>4623</v>
      </c>
      <c r="H1445" s="292" t="s">
        <v>5315</v>
      </c>
      <c r="I1445" s="293" t="s">
        <v>3442</v>
      </c>
      <c r="J1445" s="293" t="s">
        <v>4623</v>
      </c>
      <c r="K1445" s="290" t="s">
        <v>4623</v>
      </c>
      <c r="L1445" s="290" t="s">
        <v>4623</v>
      </c>
      <c r="M1445" s="290" t="s">
        <v>4623</v>
      </c>
      <c r="N1445" s="290" t="s">
        <v>4623</v>
      </c>
      <c r="O1445" s="290" t="s">
        <v>4623</v>
      </c>
      <c r="P1445" s="290" t="s">
        <v>999</v>
      </c>
      <c r="Q1445" s="291" t="s">
        <v>4623</v>
      </c>
      <c r="R1445" s="276"/>
      <c r="S1445" s="277">
        <f>IF(OR(C1445="",C1445=T$4),NA(),MATCH($B1445&amp;$C1445,'Smelter Reference List'!$J:$J,0))</f>
        <v>442</v>
      </c>
      <c r="T1445" s="278"/>
      <c r="U1445" s="278"/>
      <c r="V1445" s="278"/>
      <c r="W1445" s="278"/>
    </row>
    <row r="1446" spans="1:23" s="269" customFormat="1" ht="20.25">
      <c r="A1446" s="267"/>
      <c r="B1446" s="275" t="s">
        <v>2437</v>
      </c>
      <c r="C1446" s="275" t="s">
        <v>3831</v>
      </c>
      <c r="D1446" s="168" t="s">
        <v>6908</v>
      </c>
      <c r="E1446" s="168" t="s">
        <v>2294</v>
      </c>
      <c r="F1446" s="168" t="s">
        <v>4623</v>
      </c>
      <c r="G1446" s="168" t="s">
        <v>4623</v>
      </c>
      <c r="H1446" s="292" t="s">
        <v>4623</v>
      </c>
      <c r="I1446" s="293" t="s">
        <v>4623</v>
      </c>
      <c r="J1446" s="293" t="s">
        <v>4623</v>
      </c>
      <c r="K1446" s="290" t="s">
        <v>4623</v>
      </c>
      <c r="L1446" s="290" t="s">
        <v>4623</v>
      </c>
      <c r="M1446" s="290" t="s">
        <v>4623</v>
      </c>
      <c r="N1446" s="290" t="s">
        <v>4623</v>
      </c>
      <c r="O1446" s="290" t="s">
        <v>4623</v>
      </c>
      <c r="P1446" s="290" t="s">
        <v>999</v>
      </c>
      <c r="Q1446" s="291" t="s">
        <v>4623</v>
      </c>
      <c r="R1446" s="276"/>
      <c r="S1446" s="277">
        <f>IF(OR(C1446="",C1446=T$4),NA(),MATCH($B1446&amp;$C1446,'Smelter Reference List'!$J:$J,0))</f>
        <v>442</v>
      </c>
      <c r="T1446" s="278"/>
      <c r="U1446" s="278"/>
      <c r="V1446" s="278"/>
      <c r="W1446" s="278"/>
    </row>
    <row r="1447" spans="1:23" s="269" customFormat="1" ht="20.25">
      <c r="A1447" s="267"/>
      <c r="B1447" s="275" t="s">
        <v>2437</v>
      </c>
      <c r="C1447" s="275" t="s">
        <v>3831</v>
      </c>
      <c r="D1447" s="168" t="s">
        <v>6909</v>
      </c>
      <c r="E1447" s="168" t="s">
        <v>2294</v>
      </c>
      <c r="F1447" s="168" t="s">
        <v>4623</v>
      </c>
      <c r="G1447" s="168" t="s">
        <v>4623</v>
      </c>
      <c r="H1447" s="292" t="s">
        <v>4623</v>
      </c>
      <c r="I1447" s="293" t="s">
        <v>4623</v>
      </c>
      <c r="J1447" s="293" t="s">
        <v>4623</v>
      </c>
      <c r="K1447" s="290" t="s">
        <v>4623</v>
      </c>
      <c r="L1447" s="290" t="s">
        <v>4623</v>
      </c>
      <c r="M1447" s="290" t="s">
        <v>6377</v>
      </c>
      <c r="N1447" s="290" t="s">
        <v>5000</v>
      </c>
      <c r="O1447" s="290" t="s">
        <v>5000</v>
      </c>
      <c r="P1447" s="290" t="s">
        <v>999</v>
      </c>
      <c r="Q1447" s="291" t="s">
        <v>4623</v>
      </c>
      <c r="R1447" s="276"/>
      <c r="S1447" s="277">
        <f>IF(OR(C1447="",C1447=T$4),NA(),MATCH($B1447&amp;$C1447,'Smelter Reference List'!$J:$J,0))</f>
        <v>442</v>
      </c>
      <c r="T1447" s="278"/>
      <c r="U1447" s="278"/>
      <c r="V1447" s="278"/>
      <c r="W1447" s="278"/>
    </row>
    <row r="1448" spans="1:23" s="269" customFormat="1" ht="20.25">
      <c r="A1448" s="267"/>
      <c r="B1448" s="275" t="s">
        <v>2437</v>
      </c>
      <c r="C1448" s="275" t="s">
        <v>3831</v>
      </c>
      <c r="D1448" s="168" t="s">
        <v>6910</v>
      </c>
      <c r="E1448" s="168" t="s">
        <v>2294</v>
      </c>
      <c r="F1448" s="168" t="s">
        <v>4623</v>
      </c>
      <c r="G1448" s="168" t="s">
        <v>4623</v>
      </c>
      <c r="H1448" s="292" t="s">
        <v>4623</v>
      </c>
      <c r="I1448" s="293" t="s">
        <v>4623</v>
      </c>
      <c r="J1448" s="293" t="s">
        <v>4623</v>
      </c>
      <c r="K1448" s="290" t="s">
        <v>4623</v>
      </c>
      <c r="L1448" s="290" t="s">
        <v>4623</v>
      </c>
      <c r="M1448" s="290" t="s">
        <v>4623</v>
      </c>
      <c r="N1448" s="290" t="s">
        <v>4623</v>
      </c>
      <c r="O1448" s="290" t="s">
        <v>4623</v>
      </c>
      <c r="P1448" s="290" t="s">
        <v>999</v>
      </c>
      <c r="Q1448" s="291" t="s">
        <v>4623</v>
      </c>
      <c r="R1448" s="276"/>
      <c r="S1448" s="277">
        <f>IF(OR(C1448="",C1448=T$4),NA(),MATCH($B1448&amp;$C1448,'Smelter Reference List'!$J:$J,0))</f>
        <v>442</v>
      </c>
      <c r="T1448" s="278"/>
      <c r="U1448" s="278"/>
      <c r="V1448" s="278"/>
      <c r="W1448" s="278"/>
    </row>
    <row r="1449" spans="1:23" s="269" customFormat="1" ht="20.25">
      <c r="A1449" s="267"/>
      <c r="B1449" s="275" t="s">
        <v>2437</v>
      </c>
      <c r="C1449" s="275" t="s">
        <v>3831</v>
      </c>
      <c r="D1449" s="168" t="s">
        <v>6911</v>
      </c>
      <c r="E1449" s="168" t="s">
        <v>2294</v>
      </c>
      <c r="F1449" s="168" t="s">
        <v>4623</v>
      </c>
      <c r="G1449" s="168" t="s">
        <v>4623</v>
      </c>
      <c r="H1449" s="292" t="s">
        <v>4623</v>
      </c>
      <c r="I1449" s="293" t="s">
        <v>4623</v>
      </c>
      <c r="J1449" s="293" t="s">
        <v>4623</v>
      </c>
      <c r="K1449" s="290" t="s">
        <v>4623</v>
      </c>
      <c r="L1449" s="290" t="s">
        <v>4623</v>
      </c>
      <c r="M1449" s="290" t="s">
        <v>6377</v>
      </c>
      <c r="N1449" s="290" t="s">
        <v>5000</v>
      </c>
      <c r="O1449" s="290" t="s">
        <v>5000</v>
      </c>
      <c r="P1449" s="290" t="s">
        <v>999</v>
      </c>
      <c r="Q1449" s="291" t="s">
        <v>4623</v>
      </c>
      <c r="R1449" s="276"/>
      <c r="S1449" s="277">
        <f>IF(OR(C1449="",C1449=T$4),NA(),MATCH($B1449&amp;$C1449,'Smelter Reference List'!$J:$J,0))</f>
        <v>442</v>
      </c>
      <c r="T1449" s="278"/>
      <c r="U1449" s="278"/>
      <c r="V1449" s="278"/>
      <c r="W1449" s="278"/>
    </row>
    <row r="1450" spans="1:23" s="269" customFormat="1" ht="20.25">
      <c r="A1450" s="267"/>
      <c r="B1450" s="275" t="s">
        <v>2437</v>
      </c>
      <c r="C1450" s="275" t="s">
        <v>3831</v>
      </c>
      <c r="D1450" s="168" t="s">
        <v>6912</v>
      </c>
      <c r="E1450" s="168" t="s">
        <v>2294</v>
      </c>
      <c r="F1450" s="168" t="s">
        <v>4623</v>
      </c>
      <c r="G1450" s="168" t="s">
        <v>4623</v>
      </c>
      <c r="H1450" s="292" t="s">
        <v>4623</v>
      </c>
      <c r="I1450" s="293" t="s">
        <v>4623</v>
      </c>
      <c r="J1450" s="293" t="s">
        <v>4623</v>
      </c>
      <c r="K1450" s="290" t="s">
        <v>4623</v>
      </c>
      <c r="L1450" s="290" t="s">
        <v>4623</v>
      </c>
      <c r="M1450" s="290" t="s">
        <v>4623</v>
      </c>
      <c r="N1450" s="290" t="s">
        <v>4623</v>
      </c>
      <c r="O1450" s="290" t="s">
        <v>4623</v>
      </c>
      <c r="P1450" s="290" t="s">
        <v>999</v>
      </c>
      <c r="Q1450" s="291" t="s">
        <v>4623</v>
      </c>
      <c r="R1450" s="276"/>
      <c r="S1450" s="277">
        <f>IF(OR(C1450="",C1450=T$4),NA(),MATCH($B1450&amp;$C1450,'Smelter Reference List'!$J:$J,0))</f>
        <v>442</v>
      </c>
      <c r="T1450" s="278"/>
      <c r="U1450" s="278"/>
      <c r="V1450" s="278"/>
      <c r="W1450" s="278"/>
    </row>
    <row r="1451" spans="1:23" s="269" customFormat="1" ht="20.25">
      <c r="A1451" s="267"/>
      <c r="B1451" s="275" t="s">
        <v>2437</v>
      </c>
      <c r="C1451" s="275" t="s">
        <v>3831</v>
      </c>
      <c r="D1451" s="168" t="s">
        <v>6913</v>
      </c>
      <c r="E1451" s="168" t="s">
        <v>2294</v>
      </c>
      <c r="F1451" s="168" t="s">
        <v>4623</v>
      </c>
      <c r="G1451" s="168" t="s">
        <v>4623</v>
      </c>
      <c r="H1451" s="292" t="s">
        <v>4623</v>
      </c>
      <c r="I1451" s="293" t="s">
        <v>4623</v>
      </c>
      <c r="J1451" s="293" t="s">
        <v>4623</v>
      </c>
      <c r="K1451" s="290" t="s">
        <v>4623</v>
      </c>
      <c r="L1451" s="290" t="s">
        <v>4623</v>
      </c>
      <c r="M1451" s="290" t="s">
        <v>4623</v>
      </c>
      <c r="N1451" s="290" t="s">
        <v>4623</v>
      </c>
      <c r="O1451" s="290" t="s">
        <v>4623</v>
      </c>
      <c r="P1451" s="290" t="s">
        <v>999</v>
      </c>
      <c r="Q1451" s="291" t="s">
        <v>4623</v>
      </c>
      <c r="R1451" s="276"/>
      <c r="S1451" s="277">
        <f>IF(OR(C1451="",C1451=T$4),NA(),MATCH($B1451&amp;$C1451,'Smelter Reference List'!$J:$J,0))</f>
        <v>442</v>
      </c>
      <c r="T1451" s="278"/>
      <c r="U1451" s="278"/>
      <c r="V1451" s="278"/>
      <c r="W1451" s="278"/>
    </row>
    <row r="1452" spans="1:23" s="269" customFormat="1" ht="20.25">
      <c r="A1452" s="267"/>
      <c r="B1452" s="275" t="s">
        <v>2437</v>
      </c>
      <c r="C1452" s="275" t="s">
        <v>3831</v>
      </c>
      <c r="D1452" s="168" t="s">
        <v>6914</v>
      </c>
      <c r="E1452" s="168" t="s">
        <v>2294</v>
      </c>
      <c r="F1452" s="168" t="s">
        <v>4623</v>
      </c>
      <c r="G1452" s="168" t="s">
        <v>4623</v>
      </c>
      <c r="H1452" s="292" t="s">
        <v>4623</v>
      </c>
      <c r="I1452" s="293" t="s">
        <v>4623</v>
      </c>
      <c r="J1452" s="293" t="s">
        <v>4623</v>
      </c>
      <c r="K1452" s="290" t="s">
        <v>4623</v>
      </c>
      <c r="L1452" s="290" t="s">
        <v>4623</v>
      </c>
      <c r="M1452" s="290" t="s">
        <v>4623</v>
      </c>
      <c r="N1452" s="290" t="s">
        <v>4623</v>
      </c>
      <c r="O1452" s="290" t="s">
        <v>4623</v>
      </c>
      <c r="P1452" s="290" t="s">
        <v>999</v>
      </c>
      <c r="Q1452" s="291" t="s">
        <v>4623</v>
      </c>
      <c r="R1452" s="276"/>
      <c r="S1452" s="277">
        <f>IF(OR(C1452="",C1452=T$4),NA(),MATCH($B1452&amp;$C1452,'Smelter Reference List'!$J:$J,0))</f>
        <v>442</v>
      </c>
      <c r="T1452" s="278"/>
      <c r="U1452" s="278"/>
      <c r="V1452" s="278"/>
      <c r="W1452" s="278"/>
    </row>
    <row r="1453" spans="1:23" s="269" customFormat="1" ht="20.25">
      <c r="A1453" s="267"/>
      <c r="B1453" s="275" t="s">
        <v>2437</v>
      </c>
      <c r="C1453" s="275" t="s">
        <v>3831</v>
      </c>
      <c r="D1453" s="168" t="s">
        <v>6915</v>
      </c>
      <c r="E1453" s="168" t="s">
        <v>2294</v>
      </c>
      <c r="F1453" s="168" t="s">
        <v>4623</v>
      </c>
      <c r="G1453" s="168" t="s">
        <v>4623</v>
      </c>
      <c r="H1453" s="292" t="s">
        <v>4623</v>
      </c>
      <c r="I1453" s="293" t="s">
        <v>4623</v>
      </c>
      <c r="J1453" s="293" t="s">
        <v>4623</v>
      </c>
      <c r="K1453" s="290" t="s">
        <v>4623</v>
      </c>
      <c r="L1453" s="290" t="s">
        <v>4623</v>
      </c>
      <c r="M1453" s="290" t="s">
        <v>4623</v>
      </c>
      <c r="N1453" s="290" t="s">
        <v>4623</v>
      </c>
      <c r="O1453" s="290" t="s">
        <v>4623</v>
      </c>
      <c r="P1453" s="290" t="s">
        <v>999</v>
      </c>
      <c r="Q1453" s="291" t="s">
        <v>4623</v>
      </c>
      <c r="R1453" s="276"/>
      <c r="S1453" s="277">
        <f>IF(OR(C1453="",C1453=T$4),NA(),MATCH($B1453&amp;$C1453,'Smelter Reference List'!$J:$J,0))</f>
        <v>442</v>
      </c>
      <c r="T1453" s="278"/>
      <c r="U1453" s="278"/>
      <c r="V1453" s="278"/>
      <c r="W1453" s="278"/>
    </row>
    <row r="1454" spans="1:23" s="269" customFormat="1" ht="20.25">
      <c r="A1454" s="267"/>
      <c r="B1454" s="275" t="s">
        <v>2437</v>
      </c>
      <c r="C1454" s="275" t="s">
        <v>3831</v>
      </c>
      <c r="D1454" s="168" t="s">
        <v>6916</v>
      </c>
      <c r="E1454" s="168" t="s">
        <v>2294</v>
      </c>
      <c r="F1454" s="168" t="s">
        <v>4623</v>
      </c>
      <c r="G1454" s="168" t="s">
        <v>4623</v>
      </c>
      <c r="H1454" s="292" t="s">
        <v>4623</v>
      </c>
      <c r="I1454" s="293" t="s">
        <v>4623</v>
      </c>
      <c r="J1454" s="293" t="s">
        <v>4623</v>
      </c>
      <c r="K1454" s="290" t="s">
        <v>4623</v>
      </c>
      <c r="L1454" s="290" t="s">
        <v>4623</v>
      </c>
      <c r="M1454" s="290" t="s">
        <v>4623</v>
      </c>
      <c r="N1454" s="290" t="s">
        <v>4623</v>
      </c>
      <c r="O1454" s="290" t="s">
        <v>4623</v>
      </c>
      <c r="P1454" s="290" t="s">
        <v>999</v>
      </c>
      <c r="Q1454" s="291" t="s">
        <v>4623</v>
      </c>
      <c r="R1454" s="276"/>
      <c r="S1454" s="277">
        <f>IF(OR(C1454="",C1454=T$4),NA(),MATCH($B1454&amp;$C1454,'Smelter Reference List'!$J:$J,0))</f>
        <v>442</v>
      </c>
      <c r="T1454" s="278"/>
      <c r="U1454" s="278"/>
      <c r="V1454" s="278"/>
      <c r="W1454" s="278"/>
    </row>
    <row r="1455" spans="1:23" s="269" customFormat="1" ht="20.25">
      <c r="A1455" s="267"/>
      <c r="B1455" s="275" t="s">
        <v>2437</v>
      </c>
      <c r="C1455" s="275" t="s">
        <v>3831</v>
      </c>
      <c r="D1455" s="168" t="s">
        <v>6917</v>
      </c>
      <c r="E1455" s="168" t="s">
        <v>2294</v>
      </c>
      <c r="F1455" s="168" t="s">
        <v>4623</v>
      </c>
      <c r="G1455" s="168" t="s">
        <v>4623</v>
      </c>
      <c r="H1455" s="292" t="s">
        <v>4623</v>
      </c>
      <c r="I1455" s="293" t="s">
        <v>4623</v>
      </c>
      <c r="J1455" s="293" t="s">
        <v>4623</v>
      </c>
      <c r="K1455" s="290" t="s">
        <v>4623</v>
      </c>
      <c r="L1455" s="290" t="s">
        <v>4623</v>
      </c>
      <c r="M1455" s="290" t="s">
        <v>6918</v>
      </c>
      <c r="N1455" s="290" t="s">
        <v>4623</v>
      </c>
      <c r="O1455" s="290" t="s">
        <v>4623</v>
      </c>
      <c r="P1455" s="290" t="s">
        <v>999</v>
      </c>
      <c r="Q1455" s="291" t="s">
        <v>4623</v>
      </c>
      <c r="R1455" s="276"/>
      <c r="S1455" s="277">
        <f>IF(OR(C1455="",C1455=T$4),NA(),MATCH($B1455&amp;$C1455,'Smelter Reference List'!$J:$J,0))</f>
        <v>442</v>
      </c>
      <c r="T1455" s="278"/>
      <c r="U1455" s="278"/>
      <c r="V1455" s="278"/>
      <c r="W1455" s="278"/>
    </row>
    <row r="1456" spans="1:23" s="269" customFormat="1" ht="20.25">
      <c r="A1456" s="267"/>
      <c r="B1456" s="275" t="s">
        <v>2437</v>
      </c>
      <c r="C1456" s="275" t="s">
        <v>3831</v>
      </c>
      <c r="D1456" s="168" t="s">
        <v>6919</v>
      </c>
      <c r="E1456" s="168" t="s">
        <v>2294</v>
      </c>
      <c r="F1456" s="168" t="s">
        <v>4623</v>
      </c>
      <c r="G1456" s="168" t="s">
        <v>4623</v>
      </c>
      <c r="H1456" s="292" t="s">
        <v>4623</v>
      </c>
      <c r="I1456" s="293" t="s">
        <v>4623</v>
      </c>
      <c r="J1456" s="293" t="s">
        <v>4623</v>
      </c>
      <c r="K1456" s="290" t="s">
        <v>4623</v>
      </c>
      <c r="L1456" s="290" t="s">
        <v>4623</v>
      </c>
      <c r="M1456" s="290" t="s">
        <v>4623</v>
      </c>
      <c r="N1456" s="290" t="s">
        <v>4623</v>
      </c>
      <c r="O1456" s="290" t="s">
        <v>4623</v>
      </c>
      <c r="P1456" s="290" t="s">
        <v>999</v>
      </c>
      <c r="Q1456" s="291" t="s">
        <v>4623</v>
      </c>
      <c r="R1456" s="276"/>
      <c r="S1456" s="277">
        <f>IF(OR(C1456="",C1456=T$4),NA(),MATCH($B1456&amp;$C1456,'Smelter Reference List'!$J:$J,0))</f>
        <v>442</v>
      </c>
      <c r="T1456" s="278"/>
      <c r="U1456" s="278"/>
      <c r="V1456" s="278"/>
      <c r="W1456" s="278"/>
    </row>
    <row r="1457" spans="1:23" s="269" customFormat="1" ht="20.25">
      <c r="A1457" s="267"/>
      <c r="B1457" s="275" t="s">
        <v>2437</v>
      </c>
      <c r="C1457" s="275" t="s">
        <v>3831</v>
      </c>
      <c r="D1457" s="168" t="s">
        <v>6920</v>
      </c>
      <c r="E1457" s="168" t="s">
        <v>2294</v>
      </c>
      <c r="F1457" s="168" t="s">
        <v>4623</v>
      </c>
      <c r="G1457" s="168" t="s">
        <v>4623</v>
      </c>
      <c r="H1457" s="292" t="s">
        <v>3656</v>
      </c>
      <c r="I1457" s="293" t="s">
        <v>4623</v>
      </c>
      <c r="J1457" s="293" t="s">
        <v>4623</v>
      </c>
      <c r="K1457" s="290" t="s">
        <v>4623</v>
      </c>
      <c r="L1457" s="290" t="s">
        <v>6921</v>
      </c>
      <c r="M1457" s="290" t="s">
        <v>3656</v>
      </c>
      <c r="N1457" s="290" t="s">
        <v>4667</v>
      </c>
      <c r="O1457" s="290" t="s">
        <v>4623</v>
      </c>
      <c r="P1457" s="290" t="s">
        <v>999</v>
      </c>
      <c r="Q1457" s="291" t="s">
        <v>4623</v>
      </c>
      <c r="R1457" s="276"/>
      <c r="S1457" s="277">
        <f>IF(OR(C1457="",C1457=T$4),NA(),MATCH($B1457&amp;$C1457,'Smelter Reference List'!$J:$J,0))</f>
        <v>442</v>
      </c>
      <c r="T1457" s="278"/>
      <c r="U1457" s="278"/>
      <c r="V1457" s="278"/>
      <c r="W1457" s="278"/>
    </row>
    <row r="1458" spans="1:23" s="269" customFormat="1" ht="20.25">
      <c r="A1458" s="267"/>
      <c r="B1458" s="275" t="s">
        <v>2437</v>
      </c>
      <c r="C1458" s="275" t="s">
        <v>3831</v>
      </c>
      <c r="D1458" s="168" t="s">
        <v>6922</v>
      </c>
      <c r="E1458" s="168" t="s">
        <v>2294</v>
      </c>
      <c r="F1458" s="168" t="s">
        <v>4623</v>
      </c>
      <c r="G1458" s="168" t="s">
        <v>4623</v>
      </c>
      <c r="H1458" s="292" t="s">
        <v>4623</v>
      </c>
      <c r="I1458" s="293" t="s">
        <v>4623</v>
      </c>
      <c r="J1458" s="293" t="s">
        <v>4623</v>
      </c>
      <c r="K1458" s="290" t="s">
        <v>4623</v>
      </c>
      <c r="L1458" s="290" t="s">
        <v>4623</v>
      </c>
      <c r="M1458" s="290" t="s">
        <v>4623</v>
      </c>
      <c r="N1458" s="290" t="s">
        <v>4623</v>
      </c>
      <c r="O1458" s="290" t="s">
        <v>4623</v>
      </c>
      <c r="P1458" s="290" t="s">
        <v>999</v>
      </c>
      <c r="Q1458" s="291" t="s">
        <v>4623</v>
      </c>
      <c r="R1458" s="276"/>
      <c r="S1458" s="277">
        <f>IF(OR(C1458="",C1458=T$4),NA(),MATCH($B1458&amp;$C1458,'Smelter Reference List'!$J:$J,0))</f>
        <v>442</v>
      </c>
      <c r="T1458" s="278"/>
      <c r="U1458" s="278"/>
      <c r="V1458" s="278"/>
      <c r="W1458" s="278"/>
    </row>
    <row r="1459" spans="1:23" s="269" customFormat="1" ht="20.25">
      <c r="A1459" s="267"/>
      <c r="B1459" s="275" t="s">
        <v>2437</v>
      </c>
      <c r="C1459" s="275" t="s">
        <v>3831</v>
      </c>
      <c r="D1459" s="168" t="s">
        <v>6923</v>
      </c>
      <c r="E1459" s="168" t="s">
        <v>2294</v>
      </c>
      <c r="F1459" s="168" t="s">
        <v>4623</v>
      </c>
      <c r="G1459" s="168" t="s">
        <v>4623</v>
      </c>
      <c r="H1459" s="292" t="s">
        <v>4623</v>
      </c>
      <c r="I1459" s="293" t="s">
        <v>4623</v>
      </c>
      <c r="J1459" s="293" t="s">
        <v>4623</v>
      </c>
      <c r="K1459" s="290" t="s">
        <v>4623</v>
      </c>
      <c r="L1459" s="290" t="s">
        <v>4623</v>
      </c>
      <c r="M1459" s="290" t="s">
        <v>4623</v>
      </c>
      <c r="N1459" s="290" t="s">
        <v>4623</v>
      </c>
      <c r="O1459" s="290" t="s">
        <v>4623</v>
      </c>
      <c r="P1459" s="290" t="s">
        <v>999</v>
      </c>
      <c r="Q1459" s="291" t="s">
        <v>4623</v>
      </c>
      <c r="R1459" s="276"/>
      <c r="S1459" s="277">
        <f>IF(OR(C1459="",C1459=T$4),NA(),MATCH($B1459&amp;$C1459,'Smelter Reference List'!$J:$J,0))</f>
        <v>442</v>
      </c>
      <c r="T1459" s="278"/>
      <c r="U1459" s="278"/>
      <c r="V1459" s="278"/>
      <c r="W1459" s="278"/>
    </row>
    <row r="1460" spans="1:23" s="269" customFormat="1" ht="20.25">
      <c r="A1460" s="267"/>
      <c r="B1460" s="275" t="s">
        <v>2437</v>
      </c>
      <c r="C1460" s="275" t="s">
        <v>3831</v>
      </c>
      <c r="D1460" s="168" t="s">
        <v>5333</v>
      </c>
      <c r="E1460" s="168" t="s">
        <v>2294</v>
      </c>
      <c r="F1460" s="168" t="s">
        <v>4623</v>
      </c>
      <c r="G1460" s="168" t="s">
        <v>4623</v>
      </c>
      <c r="H1460" s="292" t="s">
        <v>4623</v>
      </c>
      <c r="I1460" s="293" t="s">
        <v>5334</v>
      </c>
      <c r="J1460" s="293" t="s">
        <v>3442</v>
      </c>
      <c r="K1460" s="290" t="s">
        <v>6719</v>
      </c>
      <c r="L1460" s="290" t="s">
        <v>5335</v>
      </c>
      <c r="M1460" s="290" t="s">
        <v>4623</v>
      </c>
      <c r="N1460" s="290" t="s">
        <v>4623</v>
      </c>
      <c r="O1460" s="290" t="s">
        <v>4623</v>
      </c>
      <c r="P1460" s="290" t="s">
        <v>999</v>
      </c>
      <c r="Q1460" s="291" t="s">
        <v>4623</v>
      </c>
      <c r="R1460" s="276"/>
      <c r="S1460" s="277">
        <f>IF(OR(C1460="",C1460=T$4),NA(),MATCH($B1460&amp;$C1460,'Smelter Reference List'!$J:$J,0))</f>
        <v>442</v>
      </c>
      <c r="T1460" s="278"/>
      <c r="U1460" s="278"/>
      <c r="V1460" s="278"/>
      <c r="W1460" s="278"/>
    </row>
    <row r="1461" spans="1:23" s="269" customFormat="1" ht="20.25">
      <c r="A1461" s="267"/>
      <c r="B1461" s="275" t="s">
        <v>2437</v>
      </c>
      <c r="C1461" s="275" t="s">
        <v>3831</v>
      </c>
      <c r="D1461" s="168" t="s">
        <v>5336</v>
      </c>
      <c r="E1461" s="168" t="s">
        <v>2294</v>
      </c>
      <c r="F1461" s="168" t="s">
        <v>4623</v>
      </c>
      <c r="G1461" s="168" t="s">
        <v>4623</v>
      </c>
      <c r="H1461" s="292" t="s">
        <v>5337</v>
      </c>
      <c r="I1461" s="293" t="s">
        <v>3372</v>
      </c>
      <c r="J1461" s="293" t="s">
        <v>4673</v>
      </c>
      <c r="K1461" s="290" t="s">
        <v>4623</v>
      </c>
      <c r="L1461" s="290" t="s">
        <v>4623</v>
      </c>
      <c r="M1461" s="290" t="s">
        <v>4623</v>
      </c>
      <c r="N1461" s="290" t="s">
        <v>4623</v>
      </c>
      <c r="O1461" s="290" t="s">
        <v>4623</v>
      </c>
      <c r="P1461" s="290" t="s">
        <v>999</v>
      </c>
      <c r="Q1461" s="291" t="s">
        <v>4623</v>
      </c>
      <c r="R1461" s="276"/>
      <c r="S1461" s="277">
        <f>IF(OR(C1461="",C1461=T$4),NA(),MATCH($B1461&amp;$C1461,'Smelter Reference List'!$J:$J,0))</f>
        <v>442</v>
      </c>
      <c r="T1461" s="278"/>
      <c r="U1461" s="278"/>
      <c r="V1461" s="278"/>
      <c r="W1461" s="278"/>
    </row>
    <row r="1462" spans="1:23" s="269" customFormat="1" ht="20.25">
      <c r="A1462" s="267"/>
      <c r="B1462" s="275" t="s">
        <v>2437</v>
      </c>
      <c r="C1462" s="275" t="s">
        <v>3831</v>
      </c>
      <c r="D1462" s="168" t="s">
        <v>6924</v>
      </c>
      <c r="E1462" s="168" t="s">
        <v>2294</v>
      </c>
      <c r="F1462" s="168" t="s">
        <v>4623</v>
      </c>
      <c r="G1462" s="168" t="s">
        <v>4623</v>
      </c>
      <c r="H1462" s="292" t="s">
        <v>4623</v>
      </c>
      <c r="I1462" s="293" t="s">
        <v>4623</v>
      </c>
      <c r="J1462" s="293" t="s">
        <v>4623</v>
      </c>
      <c r="K1462" s="290" t="s">
        <v>4623</v>
      </c>
      <c r="L1462" s="290" t="s">
        <v>4623</v>
      </c>
      <c r="M1462" s="290" t="s">
        <v>4623</v>
      </c>
      <c r="N1462" s="290" t="s">
        <v>4623</v>
      </c>
      <c r="O1462" s="290" t="s">
        <v>4623</v>
      </c>
      <c r="P1462" s="290" t="s">
        <v>999</v>
      </c>
      <c r="Q1462" s="291" t="s">
        <v>4623</v>
      </c>
      <c r="R1462" s="276"/>
      <c r="S1462" s="277">
        <f>IF(OR(C1462="",C1462=T$4),NA(),MATCH($B1462&amp;$C1462,'Smelter Reference List'!$J:$J,0))</f>
        <v>442</v>
      </c>
      <c r="T1462" s="278"/>
      <c r="U1462" s="278"/>
      <c r="V1462" s="278"/>
      <c r="W1462" s="278"/>
    </row>
    <row r="1463" spans="1:23" s="269" customFormat="1" ht="20.25">
      <c r="A1463" s="267"/>
      <c r="B1463" s="275" t="s">
        <v>2437</v>
      </c>
      <c r="C1463" s="275" t="s">
        <v>3831</v>
      </c>
      <c r="D1463" s="168" t="s">
        <v>6925</v>
      </c>
      <c r="E1463" s="168" t="s">
        <v>2294</v>
      </c>
      <c r="F1463" s="168" t="s">
        <v>4623</v>
      </c>
      <c r="G1463" s="168" t="s">
        <v>4623</v>
      </c>
      <c r="H1463" s="292" t="s">
        <v>4623</v>
      </c>
      <c r="I1463" s="293" t="s">
        <v>4623</v>
      </c>
      <c r="J1463" s="293" t="s">
        <v>4623</v>
      </c>
      <c r="K1463" s="290" t="s">
        <v>4623</v>
      </c>
      <c r="L1463" s="290" t="s">
        <v>4623</v>
      </c>
      <c r="M1463" s="290" t="s">
        <v>4623</v>
      </c>
      <c r="N1463" s="290" t="s">
        <v>4623</v>
      </c>
      <c r="O1463" s="290" t="s">
        <v>4623</v>
      </c>
      <c r="P1463" s="290" t="s">
        <v>999</v>
      </c>
      <c r="Q1463" s="291" t="s">
        <v>4623</v>
      </c>
      <c r="R1463" s="276"/>
      <c r="S1463" s="277">
        <f>IF(OR(C1463="",C1463=T$4),NA(),MATCH($B1463&amp;$C1463,'Smelter Reference List'!$J:$J,0))</f>
        <v>442</v>
      </c>
      <c r="T1463" s="278"/>
      <c r="U1463" s="278"/>
      <c r="V1463" s="278"/>
      <c r="W1463" s="278"/>
    </row>
    <row r="1464" spans="1:23" s="269" customFormat="1" ht="20.25">
      <c r="A1464" s="267"/>
      <c r="B1464" s="275" t="s">
        <v>2437</v>
      </c>
      <c r="C1464" s="275" t="s">
        <v>3831</v>
      </c>
      <c r="D1464" s="168" t="s">
        <v>6926</v>
      </c>
      <c r="E1464" s="168" t="s">
        <v>2294</v>
      </c>
      <c r="F1464" s="168" t="s">
        <v>4623</v>
      </c>
      <c r="G1464" s="168" t="s">
        <v>4623</v>
      </c>
      <c r="H1464" s="292" t="s">
        <v>4623</v>
      </c>
      <c r="I1464" s="293" t="s">
        <v>4623</v>
      </c>
      <c r="J1464" s="293" t="s">
        <v>4623</v>
      </c>
      <c r="K1464" s="290" t="s">
        <v>4623</v>
      </c>
      <c r="L1464" s="290" t="s">
        <v>4623</v>
      </c>
      <c r="M1464" s="290" t="s">
        <v>4623</v>
      </c>
      <c r="N1464" s="290" t="s">
        <v>4623</v>
      </c>
      <c r="O1464" s="290" t="s">
        <v>4623</v>
      </c>
      <c r="P1464" s="290" t="s">
        <v>999</v>
      </c>
      <c r="Q1464" s="291" t="s">
        <v>4623</v>
      </c>
      <c r="R1464" s="276"/>
      <c r="S1464" s="277">
        <f>IF(OR(C1464="",C1464=T$4),NA(),MATCH($B1464&amp;$C1464,'Smelter Reference List'!$J:$J,0))</f>
        <v>442</v>
      </c>
      <c r="T1464" s="278"/>
      <c r="U1464" s="278"/>
      <c r="V1464" s="278"/>
      <c r="W1464" s="278"/>
    </row>
    <row r="1465" spans="1:23" s="269" customFormat="1" ht="20.25">
      <c r="A1465" s="267"/>
      <c r="B1465" s="275" t="s">
        <v>2437</v>
      </c>
      <c r="C1465" s="275" t="s">
        <v>3831</v>
      </c>
      <c r="D1465" s="168" t="s">
        <v>6927</v>
      </c>
      <c r="E1465" s="168" t="s">
        <v>2294</v>
      </c>
      <c r="F1465" s="168" t="s">
        <v>4623</v>
      </c>
      <c r="G1465" s="168" t="s">
        <v>4623</v>
      </c>
      <c r="H1465" s="292" t="s">
        <v>4623</v>
      </c>
      <c r="I1465" s="293" t="s">
        <v>4623</v>
      </c>
      <c r="J1465" s="293" t="s">
        <v>4623</v>
      </c>
      <c r="K1465" s="290" t="s">
        <v>4623</v>
      </c>
      <c r="L1465" s="290" t="s">
        <v>4623</v>
      </c>
      <c r="M1465" s="290" t="s">
        <v>4623</v>
      </c>
      <c r="N1465" s="290" t="s">
        <v>4623</v>
      </c>
      <c r="O1465" s="290" t="s">
        <v>4623</v>
      </c>
      <c r="P1465" s="290" t="s">
        <v>999</v>
      </c>
      <c r="Q1465" s="291" t="s">
        <v>4623</v>
      </c>
      <c r="R1465" s="276"/>
      <c r="S1465" s="277">
        <f>IF(OR(C1465="",C1465=T$4),NA(),MATCH($B1465&amp;$C1465,'Smelter Reference List'!$J:$J,0))</f>
        <v>442</v>
      </c>
      <c r="T1465" s="278"/>
      <c r="U1465" s="278"/>
      <c r="V1465" s="278"/>
      <c r="W1465" s="278"/>
    </row>
    <row r="1466" spans="1:23" s="269" customFormat="1" ht="20.25">
      <c r="A1466" s="267"/>
      <c r="B1466" s="275" t="s">
        <v>2437</v>
      </c>
      <c r="C1466" s="275" t="s">
        <v>3831</v>
      </c>
      <c r="D1466" s="168" t="s">
        <v>6928</v>
      </c>
      <c r="E1466" s="168" t="s">
        <v>2294</v>
      </c>
      <c r="F1466" s="168" t="s">
        <v>4623</v>
      </c>
      <c r="G1466" s="168" t="s">
        <v>4623</v>
      </c>
      <c r="H1466" s="292" t="s">
        <v>4623</v>
      </c>
      <c r="I1466" s="293" t="s">
        <v>4623</v>
      </c>
      <c r="J1466" s="293" t="s">
        <v>4623</v>
      </c>
      <c r="K1466" s="290" t="s">
        <v>4623</v>
      </c>
      <c r="L1466" s="290" t="s">
        <v>4623</v>
      </c>
      <c r="M1466" s="290" t="s">
        <v>4623</v>
      </c>
      <c r="N1466" s="290" t="s">
        <v>4623</v>
      </c>
      <c r="O1466" s="290" t="s">
        <v>4623</v>
      </c>
      <c r="P1466" s="290" t="s">
        <v>999</v>
      </c>
      <c r="Q1466" s="291" t="s">
        <v>4726</v>
      </c>
      <c r="R1466" s="276"/>
      <c r="S1466" s="277">
        <f>IF(OR(C1466="",C1466=T$4),NA(),MATCH($B1466&amp;$C1466,'Smelter Reference List'!$J:$J,0))</f>
        <v>442</v>
      </c>
      <c r="T1466" s="278"/>
      <c r="U1466" s="278"/>
      <c r="V1466" s="278"/>
      <c r="W1466" s="278"/>
    </row>
    <row r="1467" spans="1:23" s="269" customFormat="1" ht="20.25">
      <c r="A1467" s="267"/>
      <c r="B1467" s="275" t="s">
        <v>2437</v>
      </c>
      <c r="C1467" s="275" t="s">
        <v>3831</v>
      </c>
      <c r="D1467" s="168" t="s">
        <v>6929</v>
      </c>
      <c r="E1467" s="168" t="s">
        <v>2294</v>
      </c>
      <c r="F1467" s="168" t="s">
        <v>4623</v>
      </c>
      <c r="G1467" s="168" t="s">
        <v>4623</v>
      </c>
      <c r="H1467" s="292" t="s">
        <v>4623</v>
      </c>
      <c r="I1467" s="293" t="s">
        <v>4623</v>
      </c>
      <c r="J1467" s="293" t="s">
        <v>4623</v>
      </c>
      <c r="K1467" s="290" t="s">
        <v>4623</v>
      </c>
      <c r="L1467" s="290" t="s">
        <v>4623</v>
      </c>
      <c r="M1467" s="290" t="s">
        <v>4623</v>
      </c>
      <c r="N1467" s="290" t="s">
        <v>4623</v>
      </c>
      <c r="O1467" s="290" t="s">
        <v>4623</v>
      </c>
      <c r="P1467" s="290" t="s">
        <v>999</v>
      </c>
      <c r="Q1467" s="291" t="s">
        <v>4623</v>
      </c>
      <c r="R1467" s="276"/>
      <c r="S1467" s="277">
        <f>IF(OR(C1467="",C1467=T$4),NA(),MATCH($B1467&amp;$C1467,'Smelter Reference List'!$J:$J,0))</f>
        <v>442</v>
      </c>
      <c r="T1467" s="278"/>
      <c r="U1467" s="278"/>
      <c r="V1467" s="278"/>
      <c r="W1467" s="278"/>
    </row>
    <row r="1468" spans="1:23" s="269" customFormat="1" ht="20.25">
      <c r="A1468" s="267"/>
      <c r="B1468" s="275" t="s">
        <v>2437</v>
      </c>
      <c r="C1468" s="275" t="s">
        <v>3831</v>
      </c>
      <c r="D1468" s="168" t="s">
        <v>6930</v>
      </c>
      <c r="E1468" s="168" t="s">
        <v>2294</v>
      </c>
      <c r="F1468" s="168" t="s">
        <v>4623</v>
      </c>
      <c r="G1468" s="168" t="s">
        <v>4623</v>
      </c>
      <c r="H1468" s="292" t="s">
        <v>4623</v>
      </c>
      <c r="I1468" s="293" t="s">
        <v>4623</v>
      </c>
      <c r="J1468" s="293" t="s">
        <v>4623</v>
      </c>
      <c r="K1468" s="290" t="s">
        <v>4623</v>
      </c>
      <c r="L1468" s="290" t="s">
        <v>4623</v>
      </c>
      <c r="M1468" s="290" t="s">
        <v>4623</v>
      </c>
      <c r="N1468" s="290" t="s">
        <v>4623</v>
      </c>
      <c r="O1468" s="290" t="s">
        <v>4623</v>
      </c>
      <c r="P1468" s="290" t="s">
        <v>999</v>
      </c>
      <c r="Q1468" s="291" t="s">
        <v>4623</v>
      </c>
      <c r="R1468" s="276"/>
      <c r="S1468" s="277">
        <f>IF(OR(C1468="",C1468=T$4),NA(),MATCH($B1468&amp;$C1468,'Smelter Reference List'!$J:$J,0))</f>
        <v>442</v>
      </c>
      <c r="T1468" s="278"/>
      <c r="U1468" s="278"/>
      <c r="V1468" s="278"/>
      <c r="W1468" s="278"/>
    </row>
    <row r="1469" spans="1:23" s="269" customFormat="1" ht="20.25">
      <c r="A1469" s="267"/>
      <c r="B1469" s="275" t="s">
        <v>2437</v>
      </c>
      <c r="C1469" s="275" t="s">
        <v>3831</v>
      </c>
      <c r="D1469" s="168" t="s">
        <v>6931</v>
      </c>
      <c r="E1469" s="168" t="s">
        <v>2294</v>
      </c>
      <c r="F1469" s="168" t="s">
        <v>4623</v>
      </c>
      <c r="G1469" s="168" t="s">
        <v>4623</v>
      </c>
      <c r="H1469" s="292" t="s">
        <v>4623</v>
      </c>
      <c r="I1469" s="293" t="s">
        <v>4623</v>
      </c>
      <c r="J1469" s="293" t="s">
        <v>4623</v>
      </c>
      <c r="K1469" s="290" t="s">
        <v>4623</v>
      </c>
      <c r="L1469" s="290" t="s">
        <v>4623</v>
      </c>
      <c r="M1469" s="290" t="s">
        <v>4623</v>
      </c>
      <c r="N1469" s="290" t="s">
        <v>4623</v>
      </c>
      <c r="O1469" s="290" t="s">
        <v>4623</v>
      </c>
      <c r="P1469" s="290" t="s">
        <v>999</v>
      </c>
      <c r="Q1469" s="291" t="s">
        <v>4623</v>
      </c>
      <c r="R1469" s="276"/>
      <c r="S1469" s="277">
        <f>IF(OR(C1469="",C1469=T$4),NA(),MATCH($B1469&amp;$C1469,'Smelter Reference List'!$J:$J,0))</f>
        <v>442</v>
      </c>
      <c r="T1469" s="278"/>
      <c r="U1469" s="278"/>
      <c r="V1469" s="278"/>
      <c r="W1469" s="278"/>
    </row>
    <row r="1470" spans="1:23" s="269" customFormat="1" ht="20.25">
      <c r="A1470" s="267"/>
      <c r="B1470" s="275" t="s">
        <v>2437</v>
      </c>
      <c r="C1470" s="275" t="s">
        <v>3831</v>
      </c>
      <c r="D1470" s="168" t="s">
        <v>6932</v>
      </c>
      <c r="E1470" s="168" t="s">
        <v>2294</v>
      </c>
      <c r="F1470" s="168" t="s">
        <v>4623</v>
      </c>
      <c r="G1470" s="168" t="s">
        <v>4623</v>
      </c>
      <c r="H1470" s="292" t="s">
        <v>4623</v>
      </c>
      <c r="I1470" s="293" t="s">
        <v>4623</v>
      </c>
      <c r="J1470" s="293" t="s">
        <v>4623</v>
      </c>
      <c r="K1470" s="290" t="s">
        <v>4623</v>
      </c>
      <c r="L1470" s="290" t="s">
        <v>4623</v>
      </c>
      <c r="M1470" s="290" t="s">
        <v>4623</v>
      </c>
      <c r="N1470" s="290" t="s">
        <v>4623</v>
      </c>
      <c r="O1470" s="290" t="s">
        <v>4623</v>
      </c>
      <c r="P1470" s="290" t="s">
        <v>999</v>
      </c>
      <c r="Q1470" s="291" t="s">
        <v>4623</v>
      </c>
      <c r="R1470" s="276"/>
      <c r="S1470" s="277">
        <f>IF(OR(C1470="",C1470=T$4),NA(),MATCH($B1470&amp;$C1470,'Smelter Reference List'!$J:$J,0))</f>
        <v>442</v>
      </c>
      <c r="T1470" s="278"/>
      <c r="U1470" s="278"/>
      <c r="V1470" s="278"/>
      <c r="W1470" s="278"/>
    </row>
    <row r="1471" spans="1:23" s="269" customFormat="1" ht="20.25">
      <c r="A1471" s="267"/>
      <c r="B1471" s="275" t="s">
        <v>2437</v>
      </c>
      <c r="C1471" s="275" t="s">
        <v>3831</v>
      </c>
      <c r="D1471" s="168" t="s">
        <v>6933</v>
      </c>
      <c r="E1471" s="168" t="s">
        <v>2294</v>
      </c>
      <c r="F1471" s="168" t="s">
        <v>4623</v>
      </c>
      <c r="G1471" s="168" t="s">
        <v>4623</v>
      </c>
      <c r="H1471" s="292" t="s">
        <v>4623</v>
      </c>
      <c r="I1471" s="293" t="s">
        <v>4623</v>
      </c>
      <c r="J1471" s="293" t="s">
        <v>4623</v>
      </c>
      <c r="K1471" s="290" t="s">
        <v>4623</v>
      </c>
      <c r="L1471" s="290" t="s">
        <v>4623</v>
      </c>
      <c r="M1471" s="290" t="s">
        <v>4623</v>
      </c>
      <c r="N1471" s="290" t="s">
        <v>4623</v>
      </c>
      <c r="O1471" s="290" t="s">
        <v>4623</v>
      </c>
      <c r="P1471" s="290" t="s">
        <v>999</v>
      </c>
      <c r="Q1471" s="291" t="s">
        <v>4623</v>
      </c>
      <c r="R1471" s="276"/>
      <c r="S1471" s="277">
        <f>IF(OR(C1471="",C1471=T$4),NA(),MATCH($B1471&amp;$C1471,'Smelter Reference List'!$J:$J,0))</f>
        <v>442</v>
      </c>
      <c r="T1471" s="278"/>
      <c r="U1471" s="278"/>
      <c r="V1471" s="278"/>
      <c r="W1471" s="278"/>
    </row>
    <row r="1472" spans="1:23" s="269" customFormat="1" ht="20.25">
      <c r="A1472" s="267"/>
      <c r="B1472" s="275" t="s">
        <v>2437</v>
      </c>
      <c r="C1472" s="275" t="s">
        <v>3831</v>
      </c>
      <c r="D1472" s="168" t="s">
        <v>6934</v>
      </c>
      <c r="E1472" s="168" t="s">
        <v>2294</v>
      </c>
      <c r="F1472" s="168" t="s">
        <v>4623</v>
      </c>
      <c r="G1472" s="168" t="s">
        <v>4623</v>
      </c>
      <c r="H1472" s="292" t="s">
        <v>6935</v>
      </c>
      <c r="I1472" s="293" t="s">
        <v>4956</v>
      </c>
      <c r="J1472" s="293" t="s">
        <v>6936</v>
      </c>
      <c r="K1472" s="290" t="s">
        <v>6937</v>
      </c>
      <c r="L1472" s="290" t="s">
        <v>4623</v>
      </c>
      <c r="M1472" s="290" t="s">
        <v>4623</v>
      </c>
      <c r="N1472" s="290" t="s">
        <v>4623</v>
      </c>
      <c r="O1472" s="290" t="s">
        <v>4623</v>
      </c>
      <c r="P1472" s="290" t="s">
        <v>999</v>
      </c>
      <c r="Q1472" s="291" t="s">
        <v>4623</v>
      </c>
      <c r="R1472" s="276"/>
      <c r="S1472" s="277">
        <f>IF(OR(C1472="",C1472=T$4),NA(),MATCH($B1472&amp;$C1472,'Smelter Reference List'!$J:$J,0))</f>
        <v>442</v>
      </c>
      <c r="T1472" s="278"/>
      <c r="U1472" s="278"/>
      <c r="V1472" s="278"/>
      <c r="W1472" s="278"/>
    </row>
    <row r="1473" spans="1:23" s="269" customFormat="1" ht="20.25">
      <c r="A1473" s="267"/>
      <c r="B1473" s="275" t="s">
        <v>2437</v>
      </c>
      <c r="C1473" s="275" t="s">
        <v>3831</v>
      </c>
      <c r="D1473" s="168" t="s">
        <v>6938</v>
      </c>
      <c r="E1473" s="168" t="s">
        <v>2294</v>
      </c>
      <c r="F1473" s="168" t="s">
        <v>4623</v>
      </c>
      <c r="G1473" s="168" t="s">
        <v>4623</v>
      </c>
      <c r="H1473" s="292" t="s">
        <v>4623</v>
      </c>
      <c r="I1473" s="293" t="s">
        <v>4623</v>
      </c>
      <c r="J1473" s="293" t="s">
        <v>4623</v>
      </c>
      <c r="K1473" s="290" t="s">
        <v>4623</v>
      </c>
      <c r="L1473" s="290" t="s">
        <v>4623</v>
      </c>
      <c r="M1473" s="290" t="s">
        <v>4623</v>
      </c>
      <c r="N1473" s="290" t="s">
        <v>4623</v>
      </c>
      <c r="O1473" s="290" t="s">
        <v>4623</v>
      </c>
      <c r="P1473" s="290" t="s">
        <v>999</v>
      </c>
      <c r="Q1473" s="291" t="s">
        <v>4623</v>
      </c>
      <c r="R1473" s="276"/>
      <c r="S1473" s="277">
        <f>IF(OR(C1473="",C1473=T$4),NA(),MATCH($B1473&amp;$C1473,'Smelter Reference List'!$J:$J,0))</f>
        <v>442</v>
      </c>
      <c r="T1473" s="278"/>
      <c r="U1473" s="278"/>
      <c r="V1473" s="278"/>
      <c r="W1473" s="278"/>
    </row>
    <row r="1474" spans="1:23" s="269" customFormat="1" ht="20.25">
      <c r="A1474" s="267"/>
      <c r="B1474" s="275" t="s">
        <v>2437</v>
      </c>
      <c r="C1474" s="275" t="s">
        <v>3831</v>
      </c>
      <c r="D1474" s="168" t="s">
        <v>6939</v>
      </c>
      <c r="E1474" s="168" t="s">
        <v>2294</v>
      </c>
      <c r="F1474" s="168" t="s">
        <v>4623</v>
      </c>
      <c r="G1474" s="168" t="s">
        <v>4623</v>
      </c>
      <c r="H1474" s="292" t="s">
        <v>4623</v>
      </c>
      <c r="I1474" s="293" t="s">
        <v>4623</v>
      </c>
      <c r="J1474" s="293" t="s">
        <v>4623</v>
      </c>
      <c r="K1474" s="290" t="s">
        <v>4623</v>
      </c>
      <c r="L1474" s="290" t="s">
        <v>4623</v>
      </c>
      <c r="M1474" s="290" t="s">
        <v>4623</v>
      </c>
      <c r="N1474" s="290" t="s">
        <v>4623</v>
      </c>
      <c r="O1474" s="290" t="s">
        <v>4623</v>
      </c>
      <c r="P1474" s="290" t="s">
        <v>999</v>
      </c>
      <c r="Q1474" s="291" t="s">
        <v>4623</v>
      </c>
      <c r="R1474" s="276"/>
      <c r="S1474" s="277">
        <f>IF(OR(C1474="",C1474=T$4),NA(),MATCH($B1474&amp;$C1474,'Smelter Reference List'!$J:$J,0))</f>
        <v>442</v>
      </c>
      <c r="T1474" s="278"/>
      <c r="U1474" s="278"/>
      <c r="V1474" s="278"/>
      <c r="W1474" s="278"/>
    </row>
    <row r="1475" spans="1:23" s="269" customFormat="1" ht="20.25">
      <c r="A1475" s="267"/>
      <c r="B1475" s="275" t="s">
        <v>2437</v>
      </c>
      <c r="C1475" s="275" t="s">
        <v>3831</v>
      </c>
      <c r="D1475" s="168" t="s">
        <v>6940</v>
      </c>
      <c r="E1475" s="168" t="s">
        <v>2294</v>
      </c>
      <c r="F1475" s="168" t="s">
        <v>4623</v>
      </c>
      <c r="G1475" s="168" t="s">
        <v>4623</v>
      </c>
      <c r="H1475" s="292" t="s">
        <v>4623</v>
      </c>
      <c r="I1475" s="293" t="s">
        <v>4623</v>
      </c>
      <c r="J1475" s="293" t="s">
        <v>4623</v>
      </c>
      <c r="K1475" s="290" t="s">
        <v>4623</v>
      </c>
      <c r="L1475" s="290" t="s">
        <v>4623</v>
      </c>
      <c r="M1475" s="290" t="s">
        <v>4623</v>
      </c>
      <c r="N1475" s="290" t="s">
        <v>4623</v>
      </c>
      <c r="O1475" s="290" t="s">
        <v>4623</v>
      </c>
      <c r="P1475" s="290" t="s">
        <v>999</v>
      </c>
      <c r="Q1475" s="291" t="s">
        <v>4623</v>
      </c>
      <c r="R1475" s="276"/>
      <c r="S1475" s="277">
        <f>IF(OR(C1475="",C1475=T$4),NA(),MATCH($B1475&amp;$C1475,'Smelter Reference List'!$J:$J,0))</f>
        <v>442</v>
      </c>
      <c r="T1475" s="278"/>
      <c r="U1475" s="278"/>
      <c r="V1475" s="278"/>
      <c r="W1475" s="278"/>
    </row>
    <row r="1476" spans="1:23" s="269" customFormat="1" ht="20.25">
      <c r="A1476" s="267"/>
      <c r="B1476" s="275" t="s">
        <v>2437</v>
      </c>
      <c r="C1476" s="275" t="s">
        <v>3831</v>
      </c>
      <c r="D1476" s="168" t="s">
        <v>6941</v>
      </c>
      <c r="E1476" s="168" t="s">
        <v>2294</v>
      </c>
      <c r="F1476" s="168" t="s">
        <v>4623</v>
      </c>
      <c r="G1476" s="168" t="s">
        <v>4623</v>
      </c>
      <c r="H1476" s="292" t="s">
        <v>4623</v>
      </c>
      <c r="I1476" s="293" t="s">
        <v>4623</v>
      </c>
      <c r="J1476" s="293" t="s">
        <v>4623</v>
      </c>
      <c r="K1476" s="290" t="s">
        <v>4623</v>
      </c>
      <c r="L1476" s="290" t="s">
        <v>4623</v>
      </c>
      <c r="M1476" s="290" t="s">
        <v>4623</v>
      </c>
      <c r="N1476" s="290" t="s">
        <v>4623</v>
      </c>
      <c r="O1476" s="290" t="s">
        <v>4623</v>
      </c>
      <c r="P1476" s="290" t="s">
        <v>999</v>
      </c>
      <c r="Q1476" s="291" t="s">
        <v>4623</v>
      </c>
      <c r="R1476" s="276"/>
      <c r="S1476" s="277">
        <f>IF(OR(C1476="",C1476=T$4),NA(),MATCH($B1476&amp;$C1476,'Smelter Reference List'!$J:$J,0))</f>
        <v>442</v>
      </c>
      <c r="T1476" s="278"/>
      <c r="U1476" s="278"/>
      <c r="V1476" s="278"/>
      <c r="W1476" s="278"/>
    </row>
    <row r="1477" spans="1:23" s="269" customFormat="1" ht="20.25">
      <c r="A1477" s="267"/>
      <c r="B1477" s="275" t="s">
        <v>2437</v>
      </c>
      <c r="C1477" s="275" t="s">
        <v>3831</v>
      </c>
      <c r="D1477" s="168" t="s">
        <v>6942</v>
      </c>
      <c r="E1477" s="168" t="s">
        <v>2294</v>
      </c>
      <c r="F1477" s="168" t="s">
        <v>4623</v>
      </c>
      <c r="G1477" s="168" t="s">
        <v>4623</v>
      </c>
      <c r="H1477" s="292" t="s">
        <v>4623</v>
      </c>
      <c r="I1477" s="293" t="s">
        <v>4765</v>
      </c>
      <c r="J1477" s="293" t="s">
        <v>3442</v>
      </c>
      <c r="K1477" s="290" t="s">
        <v>4623</v>
      </c>
      <c r="L1477" s="290" t="s">
        <v>4623</v>
      </c>
      <c r="M1477" s="290" t="s">
        <v>4623</v>
      </c>
      <c r="N1477" s="290" t="s">
        <v>3364</v>
      </c>
      <c r="O1477" s="290" t="s">
        <v>4667</v>
      </c>
      <c r="P1477" s="290" t="s">
        <v>999</v>
      </c>
      <c r="Q1477" s="291" t="s">
        <v>6943</v>
      </c>
      <c r="R1477" s="276"/>
      <c r="S1477" s="277">
        <f>IF(OR(C1477="",C1477=T$4),NA(),MATCH($B1477&amp;$C1477,'Smelter Reference List'!$J:$J,0))</f>
        <v>442</v>
      </c>
      <c r="T1477" s="278"/>
      <c r="U1477" s="278"/>
      <c r="V1477" s="278"/>
      <c r="W1477" s="278"/>
    </row>
    <row r="1478" spans="1:23" s="269" customFormat="1" ht="20.25">
      <c r="A1478" s="267"/>
      <c r="B1478" s="275" t="s">
        <v>2437</v>
      </c>
      <c r="C1478" s="275" t="s">
        <v>3831</v>
      </c>
      <c r="D1478" s="168" t="s">
        <v>5355</v>
      </c>
      <c r="E1478" s="168" t="s">
        <v>2294</v>
      </c>
      <c r="F1478" s="168" t="s">
        <v>4623</v>
      </c>
      <c r="G1478" s="168" t="s">
        <v>4623</v>
      </c>
      <c r="H1478" s="292" t="s">
        <v>5028</v>
      </c>
      <c r="I1478" s="293" t="s">
        <v>5357</v>
      </c>
      <c r="J1478" s="293" t="s">
        <v>6944</v>
      </c>
      <c r="K1478" s="290" t="s">
        <v>4623</v>
      </c>
      <c r="L1478" s="290" t="s">
        <v>4623</v>
      </c>
      <c r="M1478" s="290" t="s">
        <v>4623</v>
      </c>
      <c r="N1478" s="290" t="s">
        <v>4667</v>
      </c>
      <c r="O1478" s="290" t="s">
        <v>4623</v>
      </c>
      <c r="P1478" s="290" t="s">
        <v>999</v>
      </c>
      <c r="Q1478" s="291" t="s">
        <v>4623</v>
      </c>
      <c r="R1478" s="276"/>
      <c r="S1478" s="277">
        <f>IF(OR(C1478="",C1478=T$4),NA(),MATCH($B1478&amp;$C1478,'Smelter Reference List'!$J:$J,0))</f>
        <v>442</v>
      </c>
      <c r="T1478" s="278"/>
      <c r="U1478" s="278"/>
      <c r="V1478" s="278"/>
      <c r="W1478" s="278"/>
    </row>
    <row r="1479" spans="1:23" s="269" customFormat="1" ht="20.25">
      <c r="A1479" s="267"/>
      <c r="B1479" s="275" t="s">
        <v>2437</v>
      </c>
      <c r="C1479" s="275" t="s">
        <v>3831</v>
      </c>
      <c r="D1479" s="168" t="s">
        <v>6945</v>
      </c>
      <c r="E1479" s="168" t="s">
        <v>2294</v>
      </c>
      <c r="F1479" s="168" t="s">
        <v>4623</v>
      </c>
      <c r="G1479" s="168" t="s">
        <v>4623</v>
      </c>
      <c r="H1479" s="292" t="s">
        <v>4623</v>
      </c>
      <c r="I1479" s="293" t="s">
        <v>4623</v>
      </c>
      <c r="J1479" s="293" t="s">
        <v>4623</v>
      </c>
      <c r="K1479" s="290" t="s">
        <v>4623</v>
      </c>
      <c r="L1479" s="290" t="s">
        <v>4623</v>
      </c>
      <c r="M1479" s="290" t="s">
        <v>4623</v>
      </c>
      <c r="N1479" s="290" t="s">
        <v>4623</v>
      </c>
      <c r="O1479" s="290" t="s">
        <v>4623</v>
      </c>
      <c r="P1479" s="290" t="s">
        <v>999</v>
      </c>
      <c r="Q1479" s="291" t="s">
        <v>4623</v>
      </c>
      <c r="R1479" s="276"/>
      <c r="S1479" s="277">
        <f>IF(OR(C1479="",C1479=T$4),NA(),MATCH($B1479&amp;$C1479,'Smelter Reference List'!$J:$J,0))</f>
        <v>442</v>
      </c>
      <c r="T1479" s="278"/>
      <c r="U1479" s="278"/>
      <c r="V1479" s="278"/>
      <c r="W1479" s="278"/>
    </row>
    <row r="1480" spans="1:23" s="269" customFormat="1" ht="20.25">
      <c r="A1480" s="267"/>
      <c r="B1480" s="275" t="s">
        <v>2437</v>
      </c>
      <c r="C1480" s="275" t="s">
        <v>3831</v>
      </c>
      <c r="D1480" s="168" t="s">
        <v>6946</v>
      </c>
      <c r="E1480" s="168" t="s">
        <v>2294</v>
      </c>
      <c r="F1480" s="168" t="s">
        <v>4623</v>
      </c>
      <c r="G1480" s="168" t="s">
        <v>4623</v>
      </c>
      <c r="H1480" s="292" t="s">
        <v>4623</v>
      </c>
      <c r="I1480" s="293" t="s">
        <v>4623</v>
      </c>
      <c r="J1480" s="293" t="s">
        <v>4623</v>
      </c>
      <c r="K1480" s="290" t="s">
        <v>4623</v>
      </c>
      <c r="L1480" s="290" t="s">
        <v>4623</v>
      </c>
      <c r="M1480" s="290" t="s">
        <v>6377</v>
      </c>
      <c r="N1480" s="290" t="s">
        <v>5000</v>
      </c>
      <c r="O1480" s="290" t="s">
        <v>5000</v>
      </c>
      <c r="P1480" s="290" t="s">
        <v>999</v>
      </c>
      <c r="Q1480" s="291" t="s">
        <v>4623</v>
      </c>
      <c r="R1480" s="276"/>
      <c r="S1480" s="277">
        <f>IF(OR(C1480="",C1480=T$4),NA(),MATCH($B1480&amp;$C1480,'Smelter Reference List'!$J:$J,0))</f>
        <v>442</v>
      </c>
      <c r="T1480" s="278"/>
      <c r="U1480" s="278"/>
      <c r="V1480" s="278"/>
      <c r="W1480" s="278"/>
    </row>
    <row r="1481" spans="1:23" s="269" customFormat="1" ht="20.25">
      <c r="A1481" s="267"/>
      <c r="B1481" s="275" t="s">
        <v>2437</v>
      </c>
      <c r="C1481" s="275" t="s">
        <v>3831</v>
      </c>
      <c r="D1481" s="168" t="s">
        <v>6947</v>
      </c>
      <c r="E1481" s="168" t="s">
        <v>2294</v>
      </c>
      <c r="F1481" s="168" t="s">
        <v>4623</v>
      </c>
      <c r="G1481" s="168" t="s">
        <v>4623</v>
      </c>
      <c r="H1481" s="292" t="s">
        <v>4623</v>
      </c>
      <c r="I1481" s="293" t="s">
        <v>4623</v>
      </c>
      <c r="J1481" s="293" t="s">
        <v>4623</v>
      </c>
      <c r="K1481" s="290" t="s">
        <v>4623</v>
      </c>
      <c r="L1481" s="290" t="s">
        <v>4623</v>
      </c>
      <c r="M1481" s="290" t="s">
        <v>4623</v>
      </c>
      <c r="N1481" s="290" t="s">
        <v>4623</v>
      </c>
      <c r="O1481" s="290" t="s">
        <v>4623</v>
      </c>
      <c r="P1481" s="290" t="s">
        <v>999</v>
      </c>
      <c r="Q1481" s="291" t="s">
        <v>4623</v>
      </c>
      <c r="R1481" s="276"/>
      <c r="S1481" s="277">
        <f>IF(OR(C1481="",C1481=T$4),NA(),MATCH($B1481&amp;$C1481,'Smelter Reference List'!$J:$J,0))</f>
        <v>442</v>
      </c>
      <c r="T1481" s="278"/>
      <c r="U1481" s="278"/>
      <c r="V1481" s="278"/>
      <c r="W1481" s="278"/>
    </row>
    <row r="1482" spans="1:23" s="269" customFormat="1" ht="20.25">
      <c r="A1482" s="267"/>
      <c r="B1482" s="275" t="s">
        <v>2437</v>
      </c>
      <c r="C1482" s="275" t="s">
        <v>3831</v>
      </c>
      <c r="D1482" s="168" t="s">
        <v>6948</v>
      </c>
      <c r="E1482" s="168" t="s">
        <v>2294</v>
      </c>
      <c r="F1482" s="168" t="s">
        <v>4623</v>
      </c>
      <c r="G1482" s="168" t="s">
        <v>4623</v>
      </c>
      <c r="H1482" s="292" t="s">
        <v>4623</v>
      </c>
      <c r="I1482" s="293" t="s">
        <v>4623</v>
      </c>
      <c r="J1482" s="293" t="s">
        <v>4623</v>
      </c>
      <c r="K1482" s="290" t="s">
        <v>4623</v>
      </c>
      <c r="L1482" s="290" t="s">
        <v>4623</v>
      </c>
      <c r="M1482" s="290" t="s">
        <v>4623</v>
      </c>
      <c r="N1482" s="290" t="s">
        <v>4623</v>
      </c>
      <c r="O1482" s="290" t="s">
        <v>4623</v>
      </c>
      <c r="P1482" s="290" t="s">
        <v>999</v>
      </c>
      <c r="Q1482" s="291" t="s">
        <v>4623</v>
      </c>
      <c r="R1482" s="276"/>
      <c r="S1482" s="277">
        <f>IF(OR(C1482="",C1482=T$4),NA(),MATCH($B1482&amp;$C1482,'Smelter Reference List'!$J:$J,0))</f>
        <v>442</v>
      </c>
      <c r="T1482" s="278"/>
      <c r="U1482" s="278"/>
      <c r="V1482" s="278"/>
      <c r="W1482" s="278"/>
    </row>
    <row r="1483" spans="1:23" s="269" customFormat="1" ht="20.25">
      <c r="A1483" s="267"/>
      <c r="B1483" s="275" t="s">
        <v>2437</v>
      </c>
      <c r="C1483" s="275" t="s">
        <v>3831</v>
      </c>
      <c r="D1483" s="168" t="s">
        <v>6949</v>
      </c>
      <c r="E1483" s="168" t="s">
        <v>2294</v>
      </c>
      <c r="F1483" s="168" t="s">
        <v>4623</v>
      </c>
      <c r="G1483" s="168" t="s">
        <v>4623</v>
      </c>
      <c r="H1483" s="292" t="s">
        <v>4623</v>
      </c>
      <c r="I1483" s="293" t="s">
        <v>4623</v>
      </c>
      <c r="J1483" s="293" t="s">
        <v>4623</v>
      </c>
      <c r="K1483" s="290" t="s">
        <v>4623</v>
      </c>
      <c r="L1483" s="290" t="s">
        <v>4623</v>
      </c>
      <c r="M1483" s="290" t="s">
        <v>4623</v>
      </c>
      <c r="N1483" s="290" t="s">
        <v>4623</v>
      </c>
      <c r="O1483" s="290" t="s">
        <v>4623</v>
      </c>
      <c r="P1483" s="290" t="s">
        <v>999</v>
      </c>
      <c r="Q1483" s="291" t="s">
        <v>4623</v>
      </c>
      <c r="R1483" s="276"/>
      <c r="S1483" s="277">
        <f>IF(OR(C1483="",C1483=T$4),NA(),MATCH($B1483&amp;$C1483,'Smelter Reference List'!$J:$J,0))</f>
        <v>442</v>
      </c>
      <c r="T1483" s="278"/>
      <c r="U1483" s="278"/>
      <c r="V1483" s="278"/>
      <c r="W1483" s="278"/>
    </row>
    <row r="1484" spans="1:23" s="269" customFormat="1" ht="20.25">
      <c r="A1484" s="267"/>
      <c r="B1484" s="275" t="s">
        <v>2437</v>
      </c>
      <c r="C1484" s="275" t="s">
        <v>3831</v>
      </c>
      <c r="D1484" s="168" t="s">
        <v>6950</v>
      </c>
      <c r="E1484" s="168" t="s">
        <v>2294</v>
      </c>
      <c r="F1484" s="168" t="s">
        <v>4623</v>
      </c>
      <c r="G1484" s="168" t="s">
        <v>4623</v>
      </c>
      <c r="H1484" s="292" t="s">
        <v>4623</v>
      </c>
      <c r="I1484" s="293" t="s">
        <v>4623</v>
      </c>
      <c r="J1484" s="293" t="s">
        <v>4623</v>
      </c>
      <c r="K1484" s="290" t="s">
        <v>4623</v>
      </c>
      <c r="L1484" s="290" t="s">
        <v>4623</v>
      </c>
      <c r="M1484" s="290" t="s">
        <v>4623</v>
      </c>
      <c r="N1484" s="290" t="s">
        <v>4623</v>
      </c>
      <c r="O1484" s="290" t="s">
        <v>4623</v>
      </c>
      <c r="P1484" s="290" t="s">
        <v>999</v>
      </c>
      <c r="Q1484" s="291" t="s">
        <v>4623</v>
      </c>
      <c r="R1484" s="276"/>
      <c r="S1484" s="277">
        <f>IF(OR(C1484="",C1484=T$4),NA(),MATCH($B1484&amp;$C1484,'Smelter Reference List'!$J:$J,0))</f>
        <v>442</v>
      </c>
      <c r="T1484" s="278"/>
      <c r="U1484" s="278"/>
      <c r="V1484" s="278"/>
      <c r="W1484" s="278"/>
    </row>
    <row r="1485" spans="1:23" s="269" customFormat="1" ht="20.25">
      <c r="A1485" s="267"/>
      <c r="B1485" s="275" t="s">
        <v>2437</v>
      </c>
      <c r="C1485" s="275" t="s">
        <v>3831</v>
      </c>
      <c r="D1485" s="168" t="s">
        <v>6951</v>
      </c>
      <c r="E1485" s="168" t="s">
        <v>2294</v>
      </c>
      <c r="F1485" s="168" t="s">
        <v>4623</v>
      </c>
      <c r="G1485" s="168" t="s">
        <v>4623</v>
      </c>
      <c r="H1485" s="292" t="s">
        <v>4623</v>
      </c>
      <c r="I1485" s="293" t="s">
        <v>4623</v>
      </c>
      <c r="J1485" s="293" t="s">
        <v>4623</v>
      </c>
      <c r="K1485" s="290" t="s">
        <v>4623</v>
      </c>
      <c r="L1485" s="290" t="s">
        <v>4623</v>
      </c>
      <c r="M1485" s="290" t="s">
        <v>4623</v>
      </c>
      <c r="N1485" s="290" t="s">
        <v>4623</v>
      </c>
      <c r="O1485" s="290" t="s">
        <v>4623</v>
      </c>
      <c r="P1485" s="290" t="s">
        <v>999</v>
      </c>
      <c r="Q1485" s="291" t="s">
        <v>4623</v>
      </c>
      <c r="R1485" s="276"/>
      <c r="S1485" s="277">
        <f>IF(OR(C1485="",C1485=T$4),NA(),MATCH($B1485&amp;$C1485,'Smelter Reference List'!$J:$J,0))</f>
        <v>442</v>
      </c>
      <c r="T1485" s="278"/>
      <c r="U1485" s="278"/>
      <c r="V1485" s="278"/>
      <c r="W1485" s="278"/>
    </row>
    <row r="1486" spans="1:23" s="269" customFormat="1" ht="20.25">
      <c r="A1486" s="267"/>
      <c r="B1486" s="275" t="s">
        <v>2437</v>
      </c>
      <c r="C1486" s="275" t="s">
        <v>3831</v>
      </c>
      <c r="D1486" s="168" t="s">
        <v>6952</v>
      </c>
      <c r="E1486" s="168" t="s">
        <v>2294</v>
      </c>
      <c r="F1486" s="168" t="s">
        <v>4623</v>
      </c>
      <c r="G1486" s="168" t="s">
        <v>4623</v>
      </c>
      <c r="H1486" s="292" t="s">
        <v>4623</v>
      </c>
      <c r="I1486" s="293" t="s">
        <v>4623</v>
      </c>
      <c r="J1486" s="293" t="s">
        <v>4623</v>
      </c>
      <c r="K1486" s="290" t="s">
        <v>4623</v>
      </c>
      <c r="L1486" s="290" t="s">
        <v>4623</v>
      </c>
      <c r="M1486" s="290" t="s">
        <v>4623</v>
      </c>
      <c r="N1486" s="290" t="s">
        <v>4623</v>
      </c>
      <c r="O1486" s="290" t="s">
        <v>4623</v>
      </c>
      <c r="P1486" s="290" t="s">
        <v>999</v>
      </c>
      <c r="Q1486" s="291" t="s">
        <v>4623</v>
      </c>
      <c r="R1486" s="276"/>
      <c r="S1486" s="277">
        <f>IF(OR(C1486="",C1486=T$4),NA(),MATCH($B1486&amp;$C1486,'Smelter Reference List'!$J:$J,0))</f>
        <v>442</v>
      </c>
      <c r="T1486" s="278"/>
      <c r="U1486" s="278"/>
      <c r="V1486" s="278"/>
      <c r="W1486" s="278"/>
    </row>
    <row r="1487" spans="1:23" s="269" customFormat="1" ht="20.25">
      <c r="A1487" s="267"/>
      <c r="B1487" s="275" t="s">
        <v>2437</v>
      </c>
      <c r="C1487" s="275" t="s">
        <v>3831</v>
      </c>
      <c r="D1487" s="168" t="s">
        <v>6953</v>
      </c>
      <c r="E1487" s="168" t="s">
        <v>2294</v>
      </c>
      <c r="F1487" s="168" t="s">
        <v>4623</v>
      </c>
      <c r="G1487" s="168" t="s">
        <v>4623</v>
      </c>
      <c r="H1487" s="292" t="s">
        <v>6954</v>
      </c>
      <c r="I1487" s="293" t="s">
        <v>6955</v>
      </c>
      <c r="J1487" s="293" t="s">
        <v>6956</v>
      </c>
      <c r="K1487" s="290" t="s">
        <v>4623</v>
      </c>
      <c r="L1487" s="290" t="s">
        <v>4623</v>
      </c>
      <c r="M1487" s="290" t="s">
        <v>4623</v>
      </c>
      <c r="N1487" s="290" t="s">
        <v>4623</v>
      </c>
      <c r="O1487" s="290" t="s">
        <v>4623</v>
      </c>
      <c r="P1487" s="290" t="s">
        <v>999</v>
      </c>
      <c r="Q1487" s="291" t="s">
        <v>4623</v>
      </c>
      <c r="R1487" s="276"/>
      <c r="S1487" s="277">
        <f>IF(OR(C1487="",C1487=T$4),NA(),MATCH($B1487&amp;$C1487,'Smelter Reference List'!$J:$J,0))</f>
        <v>442</v>
      </c>
      <c r="T1487" s="278"/>
      <c r="U1487" s="278"/>
      <c r="V1487" s="278"/>
      <c r="W1487" s="278"/>
    </row>
    <row r="1488" spans="1:23" s="269" customFormat="1" ht="20.25">
      <c r="A1488" s="267"/>
      <c r="B1488" s="275" t="s">
        <v>2437</v>
      </c>
      <c r="C1488" s="275" t="s">
        <v>3831</v>
      </c>
      <c r="D1488" s="168" t="s">
        <v>6957</v>
      </c>
      <c r="E1488" s="168" t="s">
        <v>2294</v>
      </c>
      <c r="F1488" s="168" t="s">
        <v>4623</v>
      </c>
      <c r="G1488" s="168" t="s">
        <v>4623</v>
      </c>
      <c r="H1488" s="292" t="s">
        <v>4623</v>
      </c>
      <c r="I1488" s="293" t="s">
        <v>4623</v>
      </c>
      <c r="J1488" s="293" t="s">
        <v>4623</v>
      </c>
      <c r="K1488" s="290" t="s">
        <v>4623</v>
      </c>
      <c r="L1488" s="290" t="s">
        <v>4623</v>
      </c>
      <c r="M1488" s="290" t="s">
        <v>4623</v>
      </c>
      <c r="N1488" s="290" t="s">
        <v>4623</v>
      </c>
      <c r="O1488" s="290" t="s">
        <v>4623</v>
      </c>
      <c r="P1488" s="290" t="s">
        <v>999</v>
      </c>
      <c r="Q1488" s="291" t="s">
        <v>4623</v>
      </c>
      <c r="R1488" s="276"/>
      <c r="S1488" s="277">
        <f>IF(OR(C1488="",C1488=T$4),NA(),MATCH($B1488&amp;$C1488,'Smelter Reference List'!$J:$J,0))</f>
        <v>442</v>
      </c>
      <c r="T1488" s="278"/>
      <c r="U1488" s="278"/>
      <c r="V1488" s="278"/>
      <c r="W1488" s="278"/>
    </row>
    <row r="1489" spans="1:23" s="269" customFormat="1" ht="20.25">
      <c r="A1489" s="267"/>
      <c r="B1489" s="275" t="s">
        <v>2437</v>
      </c>
      <c r="C1489" s="275" t="s">
        <v>3831</v>
      </c>
      <c r="D1489" s="168" t="s">
        <v>6958</v>
      </c>
      <c r="E1489" s="168" t="s">
        <v>2294</v>
      </c>
      <c r="F1489" s="168" t="s">
        <v>4623</v>
      </c>
      <c r="G1489" s="168" t="s">
        <v>4623</v>
      </c>
      <c r="H1489" s="292" t="s">
        <v>4623</v>
      </c>
      <c r="I1489" s="293" t="s">
        <v>4623</v>
      </c>
      <c r="J1489" s="293" t="s">
        <v>4623</v>
      </c>
      <c r="K1489" s="290" t="s">
        <v>4623</v>
      </c>
      <c r="L1489" s="290" t="s">
        <v>4623</v>
      </c>
      <c r="M1489" s="290" t="s">
        <v>4623</v>
      </c>
      <c r="N1489" s="290" t="s">
        <v>4623</v>
      </c>
      <c r="O1489" s="290" t="s">
        <v>4623</v>
      </c>
      <c r="P1489" s="290" t="s">
        <v>999</v>
      </c>
      <c r="Q1489" s="291" t="s">
        <v>4623</v>
      </c>
      <c r="R1489" s="276"/>
      <c r="S1489" s="277">
        <f>IF(OR(C1489="",C1489=T$4),NA(),MATCH($B1489&amp;$C1489,'Smelter Reference List'!$J:$J,0))</f>
        <v>442</v>
      </c>
      <c r="T1489" s="278"/>
      <c r="U1489" s="278"/>
      <c r="V1489" s="278"/>
      <c r="W1489" s="278"/>
    </row>
    <row r="1490" spans="1:23" s="269" customFormat="1" ht="20.25">
      <c r="A1490" s="267"/>
      <c r="B1490" s="275" t="s">
        <v>2437</v>
      </c>
      <c r="C1490" s="275" t="s">
        <v>3831</v>
      </c>
      <c r="D1490" s="168" t="s">
        <v>6959</v>
      </c>
      <c r="E1490" s="168" t="s">
        <v>2294</v>
      </c>
      <c r="F1490" s="168" t="s">
        <v>4623</v>
      </c>
      <c r="G1490" s="168" t="s">
        <v>4623</v>
      </c>
      <c r="H1490" s="292" t="s">
        <v>4623</v>
      </c>
      <c r="I1490" s="293" t="s">
        <v>4623</v>
      </c>
      <c r="J1490" s="293" t="s">
        <v>4623</v>
      </c>
      <c r="K1490" s="290" t="s">
        <v>4623</v>
      </c>
      <c r="L1490" s="290" t="s">
        <v>4623</v>
      </c>
      <c r="M1490" s="290" t="s">
        <v>4623</v>
      </c>
      <c r="N1490" s="290" t="s">
        <v>4623</v>
      </c>
      <c r="O1490" s="290" t="s">
        <v>4623</v>
      </c>
      <c r="P1490" s="290" t="s">
        <v>999</v>
      </c>
      <c r="Q1490" s="291" t="s">
        <v>4623</v>
      </c>
      <c r="R1490" s="276"/>
      <c r="S1490" s="277">
        <f>IF(OR(C1490="",C1490=T$4),NA(),MATCH($B1490&amp;$C1490,'Smelter Reference List'!$J:$J,0))</f>
        <v>442</v>
      </c>
      <c r="T1490" s="278"/>
      <c r="U1490" s="278"/>
      <c r="V1490" s="278"/>
      <c r="W1490" s="278"/>
    </row>
    <row r="1491" spans="1:23" s="269" customFormat="1" ht="20.25">
      <c r="A1491" s="267"/>
      <c r="B1491" s="275" t="s">
        <v>2437</v>
      </c>
      <c r="C1491" s="275" t="s">
        <v>3831</v>
      </c>
      <c r="D1491" s="168" t="s">
        <v>6960</v>
      </c>
      <c r="E1491" s="168" t="s">
        <v>2294</v>
      </c>
      <c r="F1491" s="168" t="s">
        <v>4623</v>
      </c>
      <c r="G1491" s="168" t="s">
        <v>4623</v>
      </c>
      <c r="H1491" s="292" t="s">
        <v>6954</v>
      </c>
      <c r="I1491" s="293" t="s">
        <v>6955</v>
      </c>
      <c r="J1491" s="293" t="s">
        <v>6956</v>
      </c>
      <c r="K1491" s="290" t="s">
        <v>4623</v>
      </c>
      <c r="L1491" s="290" t="s">
        <v>4623</v>
      </c>
      <c r="M1491" s="290" t="s">
        <v>4623</v>
      </c>
      <c r="N1491" s="290" t="s">
        <v>4623</v>
      </c>
      <c r="O1491" s="290" t="s">
        <v>4623</v>
      </c>
      <c r="P1491" s="290" t="s">
        <v>999</v>
      </c>
      <c r="Q1491" s="291" t="s">
        <v>4623</v>
      </c>
      <c r="R1491" s="276"/>
      <c r="S1491" s="277">
        <f>IF(OR(C1491="",C1491=T$4),NA(),MATCH($B1491&amp;$C1491,'Smelter Reference List'!$J:$J,0))</f>
        <v>442</v>
      </c>
      <c r="T1491" s="278"/>
      <c r="U1491" s="278"/>
      <c r="V1491" s="278"/>
      <c r="W1491" s="278"/>
    </row>
    <row r="1492" spans="1:23" s="269" customFormat="1" ht="20.25">
      <c r="A1492" s="267"/>
      <c r="B1492" s="275" t="s">
        <v>2437</v>
      </c>
      <c r="C1492" s="275" t="s">
        <v>3831</v>
      </c>
      <c r="D1492" s="168" t="s">
        <v>3686</v>
      </c>
      <c r="E1492" s="168" t="s">
        <v>2294</v>
      </c>
      <c r="F1492" s="168" t="s">
        <v>4623</v>
      </c>
      <c r="G1492" s="168" t="s">
        <v>4623</v>
      </c>
      <c r="H1492" s="292" t="s">
        <v>4623</v>
      </c>
      <c r="I1492" s="293" t="s">
        <v>4623</v>
      </c>
      <c r="J1492" s="293" t="s">
        <v>4623</v>
      </c>
      <c r="K1492" s="290" t="s">
        <v>4623</v>
      </c>
      <c r="L1492" s="290" t="s">
        <v>4623</v>
      </c>
      <c r="M1492" s="290" t="s">
        <v>4623</v>
      </c>
      <c r="N1492" s="290" t="s">
        <v>4623</v>
      </c>
      <c r="O1492" s="290" t="s">
        <v>4623</v>
      </c>
      <c r="P1492" s="290" t="s">
        <v>999</v>
      </c>
      <c r="Q1492" s="291" t="s">
        <v>4623</v>
      </c>
      <c r="R1492" s="276"/>
      <c r="S1492" s="277">
        <f>IF(OR(C1492="",C1492=T$4),NA(),MATCH($B1492&amp;$C1492,'Smelter Reference List'!$J:$J,0))</f>
        <v>442</v>
      </c>
      <c r="T1492" s="278"/>
      <c r="U1492" s="278"/>
      <c r="V1492" s="278"/>
      <c r="W1492" s="278"/>
    </row>
    <row r="1493" spans="1:23" s="269" customFormat="1" ht="20.25">
      <c r="A1493" s="267"/>
      <c r="B1493" s="275" t="s">
        <v>2437</v>
      </c>
      <c r="C1493" s="275" t="s">
        <v>3831</v>
      </c>
      <c r="D1493" s="168" t="s">
        <v>6961</v>
      </c>
      <c r="E1493" s="168" t="s">
        <v>2294</v>
      </c>
      <c r="F1493" s="168" t="s">
        <v>4623</v>
      </c>
      <c r="G1493" s="168" t="s">
        <v>4623</v>
      </c>
      <c r="H1493" s="292" t="s">
        <v>4623</v>
      </c>
      <c r="I1493" s="293" t="s">
        <v>4623</v>
      </c>
      <c r="J1493" s="293" t="s">
        <v>4623</v>
      </c>
      <c r="K1493" s="290" t="s">
        <v>4623</v>
      </c>
      <c r="L1493" s="290" t="s">
        <v>4623</v>
      </c>
      <c r="M1493" s="290" t="s">
        <v>4623</v>
      </c>
      <c r="N1493" s="290" t="s">
        <v>4623</v>
      </c>
      <c r="O1493" s="290" t="s">
        <v>4623</v>
      </c>
      <c r="P1493" s="290" t="s">
        <v>999</v>
      </c>
      <c r="Q1493" s="291" t="s">
        <v>4726</v>
      </c>
      <c r="R1493" s="276"/>
      <c r="S1493" s="277">
        <f>IF(OR(C1493="",C1493=T$4),NA(),MATCH($B1493&amp;$C1493,'Smelter Reference List'!$J:$J,0))</f>
        <v>442</v>
      </c>
      <c r="T1493" s="278"/>
      <c r="U1493" s="278"/>
      <c r="V1493" s="278"/>
      <c r="W1493" s="278"/>
    </row>
    <row r="1494" spans="1:23" s="269" customFormat="1" ht="20.25">
      <c r="A1494" s="267"/>
      <c r="B1494" s="275" t="s">
        <v>2437</v>
      </c>
      <c r="C1494" s="275" t="s">
        <v>3831</v>
      </c>
      <c r="D1494" s="168" t="s">
        <v>6962</v>
      </c>
      <c r="E1494" s="168" t="s">
        <v>2294</v>
      </c>
      <c r="F1494" s="168" t="s">
        <v>4623</v>
      </c>
      <c r="G1494" s="168" t="s">
        <v>4623</v>
      </c>
      <c r="H1494" s="292" t="s">
        <v>4623</v>
      </c>
      <c r="I1494" s="293" t="s">
        <v>4623</v>
      </c>
      <c r="J1494" s="293" t="s">
        <v>4623</v>
      </c>
      <c r="K1494" s="290" t="s">
        <v>4623</v>
      </c>
      <c r="L1494" s="290" t="s">
        <v>4623</v>
      </c>
      <c r="M1494" s="290" t="s">
        <v>4623</v>
      </c>
      <c r="N1494" s="290" t="s">
        <v>4623</v>
      </c>
      <c r="O1494" s="290" t="s">
        <v>4623</v>
      </c>
      <c r="P1494" s="290" t="s">
        <v>999</v>
      </c>
      <c r="Q1494" s="291" t="s">
        <v>4623</v>
      </c>
      <c r="R1494" s="276"/>
      <c r="S1494" s="277">
        <f>IF(OR(C1494="",C1494=T$4),NA(),MATCH($B1494&amp;$C1494,'Smelter Reference List'!$J:$J,0))</f>
        <v>442</v>
      </c>
      <c r="T1494" s="278"/>
      <c r="U1494" s="278"/>
      <c r="V1494" s="278"/>
      <c r="W1494" s="278"/>
    </row>
    <row r="1495" spans="1:23" s="269" customFormat="1" ht="20.25">
      <c r="A1495" s="267"/>
      <c r="B1495" s="275" t="s">
        <v>2437</v>
      </c>
      <c r="C1495" s="275" t="s">
        <v>3831</v>
      </c>
      <c r="D1495" s="168" t="s">
        <v>6963</v>
      </c>
      <c r="E1495" s="168" t="s">
        <v>2294</v>
      </c>
      <c r="F1495" s="168" t="s">
        <v>4623</v>
      </c>
      <c r="G1495" s="168" t="s">
        <v>4623</v>
      </c>
      <c r="H1495" s="292" t="s">
        <v>4623</v>
      </c>
      <c r="I1495" s="293" t="s">
        <v>4623</v>
      </c>
      <c r="J1495" s="293" t="s">
        <v>4623</v>
      </c>
      <c r="K1495" s="290" t="s">
        <v>4623</v>
      </c>
      <c r="L1495" s="290" t="s">
        <v>4623</v>
      </c>
      <c r="M1495" s="290" t="s">
        <v>6377</v>
      </c>
      <c r="N1495" s="290" t="s">
        <v>5000</v>
      </c>
      <c r="O1495" s="290" t="s">
        <v>5000</v>
      </c>
      <c r="P1495" s="290" t="s">
        <v>999</v>
      </c>
      <c r="Q1495" s="291" t="s">
        <v>4623</v>
      </c>
      <c r="R1495" s="276"/>
      <c r="S1495" s="277">
        <f>IF(OR(C1495="",C1495=T$4),NA(),MATCH($B1495&amp;$C1495,'Smelter Reference List'!$J:$J,0))</f>
        <v>442</v>
      </c>
      <c r="T1495" s="278"/>
      <c r="U1495" s="278"/>
      <c r="V1495" s="278"/>
      <c r="W1495" s="278"/>
    </row>
    <row r="1496" spans="1:23" s="269" customFormat="1" ht="20.25">
      <c r="A1496" s="267"/>
      <c r="B1496" s="275" t="s">
        <v>2437</v>
      </c>
      <c r="C1496" s="275" t="s">
        <v>3831</v>
      </c>
      <c r="D1496" s="168" t="s">
        <v>6964</v>
      </c>
      <c r="E1496" s="168" t="s">
        <v>2294</v>
      </c>
      <c r="F1496" s="168" t="s">
        <v>4623</v>
      </c>
      <c r="G1496" s="168" t="s">
        <v>4623</v>
      </c>
      <c r="H1496" s="292" t="s">
        <v>4623</v>
      </c>
      <c r="I1496" s="293" t="s">
        <v>4623</v>
      </c>
      <c r="J1496" s="293" t="s">
        <v>4623</v>
      </c>
      <c r="K1496" s="290" t="s">
        <v>4623</v>
      </c>
      <c r="L1496" s="290" t="s">
        <v>4623</v>
      </c>
      <c r="M1496" s="290" t="s">
        <v>4623</v>
      </c>
      <c r="N1496" s="290" t="s">
        <v>4623</v>
      </c>
      <c r="O1496" s="290" t="s">
        <v>4623</v>
      </c>
      <c r="P1496" s="290" t="s">
        <v>999</v>
      </c>
      <c r="Q1496" s="291" t="s">
        <v>4623</v>
      </c>
      <c r="R1496" s="276"/>
      <c r="S1496" s="277">
        <f>IF(OR(C1496="",C1496=T$4),NA(),MATCH($B1496&amp;$C1496,'Smelter Reference List'!$J:$J,0))</f>
        <v>442</v>
      </c>
      <c r="T1496" s="278"/>
      <c r="U1496" s="278"/>
      <c r="V1496" s="278"/>
      <c r="W1496" s="278"/>
    </row>
    <row r="1497" spans="1:23" s="269" customFormat="1" ht="20.25">
      <c r="A1497" s="267"/>
      <c r="B1497" s="275" t="s">
        <v>2437</v>
      </c>
      <c r="C1497" s="275" t="s">
        <v>3831</v>
      </c>
      <c r="D1497" s="168" t="s">
        <v>6965</v>
      </c>
      <c r="E1497" s="168" t="s">
        <v>2294</v>
      </c>
      <c r="F1497" s="168" t="s">
        <v>4623</v>
      </c>
      <c r="G1497" s="168" t="s">
        <v>4623</v>
      </c>
      <c r="H1497" s="292" t="s">
        <v>3364</v>
      </c>
      <c r="I1497" s="293" t="s">
        <v>6966</v>
      </c>
      <c r="J1497" s="293" t="s">
        <v>4623</v>
      </c>
      <c r="K1497" s="290" t="s">
        <v>4623</v>
      </c>
      <c r="L1497" s="290" t="s">
        <v>4623</v>
      </c>
      <c r="M1497" s="290" t="s">
        <v>6967</v>
      </c>
      <c r="N1497" s="290" t="s">
        <v>4623</v>
      </c>
      <c r="O1497" s="290" t="s">
        <v>4623</v>
      </c>
      <c r="P1497" s="290" t="s">
        <v>999</v>
      </c>
      <c r="Q1497" s="291" t="s">
        <v>4623</v>
      </c>
      <c r="R1497" s="276"/>
      <c r="S1497" s="277">
        <f>IF(OR(C1497="",C1497=T$4),NA(),MATCH($B1497&amp;$C1497,'Smelter Reference List'!$J:$J,0))</f>
        <v>442</v>
      </c>
      <c r="T1497" s="278"/>
      <c r="U1497" s="278"/>
      <c r="V1497" s="278"/>
      <c r="W1497" s="278"/>
    </row>
    <row r="1498" spans="1:23" s="269" customFormat="1" ht="20.25">
      <c r="A1498" s="267"/>
      <c r="B1498" s="275" t="s">
        <v>2437</v>
      </c>
      <c r="C1498" s="275" t="s">
        <v>3831</v>
      </c>
      <c r="D1498" s="168" t="s">
        <v>6968</v>
      </c>
      <c r="E1498" s="168" t="s">
        <v>2294</v>
      </c>
      <c r="F1498" s="168" t="s">
        <v>4623</v>
      </c>
      <c r="G1498" s="168" t="s">
        <v>4623</v>
      </c>
      <c r="H1498" s="292" t="s">
        <v>3685</v>
      </c>
      <c r="I1498" s="293" t="s">
        <v>3364</v>
      </c>
      <c r="J1498" s="293" t="s">
        <v>6969</v>
      </c>
      <c r="K1498" s="290" t="s">
        <v>6970</v>
      </c>
      <c r="L1498" s="290" t="s">
        <v>4623</v>
      </c>
      <c r="M1498" s="290" t="s">
        <v>4623</v>
      </c>
      <c r="N1498" s="290" t="s">
        <v>4623</v>
      </c>
      <c r="O1498" s="290" t="s">
        <v>4623</v>
      </c>
      <c r="P1498" s="290" t="s">
        <v>999</v>
      </c>
      <c r="Q1498" s="291" t="s">
        <v>4623</v>
      </c>
      <c r="R1498" s="276"/>
      <c r="S1498" s="277">
        <f>IF(OR(C1498="",C1498=T$4),NA(),MATCH($B1498&amp;$C1498,'Smelter Reference List'!$J:$J,0))</f>
        <v>442</v>
      </c>
      <c r="T1498" s="278"/>
      <c r="U1498" s="278"/>
      <c r="V1498" s="278"/>
      <c r="W1498" s="278"/>
    </row>
    <row r="1499" spans="1:23" s="269" customFormat="1" ht="20.25">
      <c r="A1499" s="267"/>
      <c r="B1499" s="275" t="s">
        <v>2437</v>
      </c>
      <c r="C1499" s="275" t="s">
        <v>3831</v>
      </c>
      <c r="D1499" s="168" t="s">
        <v>6971</v>
      </c>
      <c r="E1499" s="168" t="s">
        <v>2294</v>
      </c>
      <c r="F1499" s="168" t="s">
        <v>4623</v>
      </c>
      <c r="G1499" s="168" t="s">
        <v>4623</v>
      </c>
      <c r="H1499" s="292" t="s">
        <v>4623</v>
      </c>
      <c r="I1499" s="293" t="s">
        <v>4623</v>
      </c>
      <c r="J1499" s="293" t="s">
        <v>4623</v>
      </c>
      <c r="K1499" s="290" t="s">
        <v>4623</v>
      </c>
      <c r="L1499" s="290" t="s">
        <v>4623</v>
      </c>
      <c r="M1499" s="290" t="s">
        <v>4623</v>
      </c>
      <c r="N1499" s="290" t="s">
        <v>4623</v>
      </c>
      <c r="O1499" s="290" t="s">
        <v>4623</v>
      </c>
      <c r="P1499" s="290" t="s">
        <v>999</v>
      </c>
      <c r="Q1499" s="291" t="s">
        <v>4623</v>
      </c>
      <c r="R1499" s="276"/>
      <c r="S1499" s="277">
        <f>IF(OR(C1499="",C1499=T$4),NA(),MATCH($B1499&amp;$C1499,'Smelter Reference List'!$J:$J,0))</f>
        <v>442</v>
      </c>
      <c r="T1499" s="278"/>
      <c r="U1499" s="278"/>
      <c r="V1499" s="278"/>
      <c r="W1499" s="278"/>
    </row>
    <row r="1500" spans="1:23" s="269" customFormat="1" ht="20.25">
      <c r="A1500" s="267"/>
      <c r="B1500" s="275" t="s">
        <v>2437</v>
      </c>
      <c r="C1500" s="275" t="s">
        <v>3831</v>
      </c>
      <c r="D1500" s="168" t="s">
        <v>6972</v>
      </c>
      <c r="E1500" s="168" t="s">
        <v>2294</v>
      </c>
      <c r="F1500" s="168" t="s">
        <v>4623</v>
      </c>
      <c r="G1500" s="168" t="s">
        <v>4623</v>
      </c>
      <c r="H1500" s="292" t="s">
        <v>6973</v>
      </c>
      <c r="I1500" s="293" t="s">
        <v>5028</v>
      </c>
      <c r="J1500" s="293" t="s">
        <v>5365</v>
      </c>
      <c r="K1500" s="290" t="s">
        <v>6974</v>
      </c>
      <c r="L1500" s="290" t="s">
        <v>6975</v>
      </c>
      <c r="M1500" s="290" t="s">
        <v>4623</v>
      </c>
      <c r="N1500" s="290" t="s">
        <v>4623</v>
      </c>
      <c r="O1500" s="290" t="s">
        <v>4623</v>
      </c>
      <c r="P1500" s="290" t="s">
        <v>999</v>
      </c>
      <c r="Q1500" s="291" t="s">
        <v>4623</v>
      </c>
      <c r="R1500" s="276"/>
      <c r="S1500" s="277">
        <f>IF(OR(C1500="",C1500=T$4),NA(),MATCH($B1500&amp;$C1500,'Smelter Reference List'!$J:$J,0))</f>
        <v>442</v>
      </c>
      <c r="T1500" s="278"/>
      <c r="U1500" s="278"/>
      <c r="V1500" s="278"/>
      <c r="W1500" s="278"/>
    </row>
    <row r="1501" spans="1:23" s="269" customFormat="1" ht="20.25">
      <c r="A1501" s="267"/>
      <c r="B1501" s="275" t="s">
        <v>2437</v>
      </c>
      <c r="C1501" s="275" t="s">
        <v>3831</v>
      </c>
      <c r="D1501" s="168" t="s">
        <v>6976</v>
      </c>
      <c r="E1501" s="168" t="s">
        <v>2294</v>
      </c>
      <c r="F1501" s="168" t="s">
        <v>4623</v>
      </c>
      <c r="G1501" s="168" t="s">
        <v>4623</v>
      </c>
      <c r="H1501" s="292" t="s">
        <v>4623</v>
      </c>
      <c r="I1501" s="293" t="s">
        <v>4623</v>
      </c>
      <c r="J1501" s="293" t="s">
        <v>4623</v>
      </c>
      <c r="K1501" s="290" t="s">
        <v>4623</v>
      </c>
      <c r="L1501" s="290" t="s">
        <v>4623</v>
      </c>
      <c r="M1501" s="290" t="s">
        <v>6377</v>
      </c>
      <c r="N1501" s="290" t="s">
        <v>5000</v>
      </c>
      <c r="O1501" s="290" t="s">
        <v>5000</v>
      </c>
      <c r="P1501" s="290" t="s">
        <v>999</v>
      </c>
      <c r="Q1501" s="291" t="s">
        <v>4623</v>
      </c>
      <c r="R1501" s="276"/>
      <c r="S1501" s="277">
        <f>IF(OR(C1501="",C1501=T$4),NA(),MATCH($B1501&amp;$C1501,'Smelter Reference List'!$J:$J,0))</f>
        <v>442</v>
      </c>
      <c r="T1501" s="278"/>
      <c r="U1501" s="278"/>
      <c r="V1501" s="278"/>
      <c r="W1501" s="278"/>
    </row>
    <row r="1502" spans="1:23" s="269" customFormat="1" ht="20.25">
      <c r="A1502" s="267"/>
      <c r="B1502" s="275" t="s">
        <v>2437</v>
      </c>
      <c r="C1502" s="275" t="s">
        <v>3831</v>
      </c>
      <c r="D1502" s="168" t="s">
        <v>6977</v>
      </c>
      <c r="E1502" s="168" t="s">
        <v>2294</v>
      </c>
      <c r="F1502" s="168" t="s">
        <v>4623</v>
      </c>
      <c r="G1502" s="168" t="s">
        <v>4623</v>
      </c>
      <c r="H1502" s="292" t="s">
        <v>4623</v>
      </c>
      <c r="I1502" s="293" t="s">
        <v>4623</v>
      </c>
      <c r="J1502" s="293" t="s">
        <v>4623</v>
      </c>
      <c r="K1502" s="290" t="s">
        <v>4623</v>
      </c>
      <c r="L1502" s="290" t="s">
        <v>4623</v>
      </c>
      <c r="M1502" s="290" t="s">
        <v>4623</v>
      </c>
      <c r="N1502" s="290" t="s">
        <v>4623</v>
      </c>
      <c r="O1502" s="290" t="s">
        <v>4623</v>
      </c>
      <c r="P1502" s="290" t="s">
        <v>999</v>
      </c>
      <c r="Q1502" s="291" t="s">
        <v>4623</v>
      </c>
      <c r="R1502" s="276"/>
      <c r="S1502" s="277">
        <f>IF(OR(C1502="",C1502=T$4),NA(),MATCH($B1502&amp;$C1502,'Smelter Reference List'!$J:$J,0))</f>
        <v>442</v>
      </c>
      <c r="T1502" s="278"/>
      <c r="U1502" s="278"/>
      <c r="V1502" s="278"/>
      <c r="W1502" s="278"/>
    </row>
    <row r="1503" spans="1:23" s="269" customFormat="1" ht="20.25">
      <c r="A1503" s="267"/>
      <c r="B1503" s="275" t="s">
        <v>2437</v>
      </c>
      <c r="C1503" s="275" t="s">
        <v>3831</v>
      </c>
      <c r="D1503" s="168" t="s">
        <v>6978</v>
      </c>
      <c r="E1503" s="168" t="s">
        <v>2294</v>
      </c>
      <c r="F1503" s="168" t="s">
        <v>4623</v>
      </c>
      <c r="G1503" s="168" t="s">
        <v>4623</v>
      </c>
      <c r="H1503" s="292" t="s">
        <v>6979</v>
      </c>
      <c r="I1503" s="293" t="s">
        <v>6980</v>
      </c>
      <c r="J1503" s="293" t="s">
        <v>6981</v>
      </c>
      <c r="K1503" s="290" t="s">
        <v>6982</v>
      </c>
      <c r="L1503" s="290" t="s">
        <v>4623</v>
      </c>
      <c r="M1503" s="290" t="s">
        <v>4623</v>
      </c>
      <c r="N1503" s="290" t="s">
        <v>4623</v>
      </c>
      <c r="O1503" s="290" t="s">
        <v>4623</v>
      </c>
      <c r="P1503" s="290" t="s">
        <v>999</v>
      </c>
      <c r="Q1503" s="291" t="s">
        <v>4623</v>
      </c>
      <c r="R1503" s="276"/>
      <c r="S1503" s="277">
        <f>IF(OR(C1503="",C1503=T$4),NA(),MATCH($B1503&amp;$C1503,'Smelter Reference List'!$J:$J,0))</f>
        <v>442</v>
      </c>
      <c r="T1503" s="278"/>
      <c r="U1503" s="278"/>
      <c r="V1503" s="278"/>
      <c r="W1503" s="278"/>
    </row>
    <row r="1504" spans="1:23" s="269" customFormat="1" ht="20.25">
      <c r="A1504" s="267"/>
      <c r="B1504" s="275" t="s">
        <v>2437</v>
      </c>
      <c r="C1504" s="275" t="s">
        <v>3831</v>
      </c>
      <c r="D1504" s="168" t="s">
        <v>6983</v>
      </c>
      <c r="E1504" s="168" t="s">
        <v>2294</v>
      </c>
      <c r="F1504" s="168" t="s">
        <v>4623</v>
      </c>
      <c r="G1504" s="168" t="s">
        <v>4623</v>
      </c>
      <c r="H1504" s="292" t="s">
        <v>4623</v>
      </c>
      <c r="I1504" s="293" t="s">
        <v>4623</v>
      </c>
      <c r="J1504" s="293" t="s">
        <v>4623</v>
      </c>
      <c r="K1504" s="290" t="s">
        <v>4623</v>
      </c>
      <c r="L1504" s="290" t="s">
        <v>4623</v>
      </c>
      <c r="M1504" s="290" t="s">
        <v>4623</v>
      </c>
      <c r="N1504" s="290" t="s">
        <v>4623</v>
      </c>
      <c r="O1504" s="290" t="s">
        <v>4623</v>
      </c>
      <c r="P1504" s="290" t="s">
        <v>999</v>
      </c>
      <c r="Q1504" s="291" t="s">
        <v>4623</v>
      </c>
      <c r="R1504" s="276"/>
      <c r="S1504" s="277">
        <f>IF(OR(C1504="",C1504=T$4),NA(),MATCH($B1504&amp;$C1504,'Smelter Reference List'!$J:$J,0))</f>
        <v>442</v>
      </c>
      <c r="T1504" s="278"/>
      <c r="U1504" s="278"/>
      <c r="V1504" s="278"/>
      <c r="W1504" s="278"/>
    </row>
    <row r="1505" spans="1:23" s="269" customFormat="1" ht="20.25">
      <c r="A1505" s="267"/>
      <c r="B1505" s="275" t="s">
        <v>2437</v>
      </c>
      <c r="C1505" s="275" t="s">
        <v>3831</v>
      </c>
      <c r="D1505" s="168" t="s">
        <v>6984</v>
      </c>
      <c r="E1505" s="168" t="s">
        <v>2294</v>
      </c>
      <c r="F1505" s="168" t="s">
        <v>4623</v>
      </c>
      <c r="G1505" s="168" t="s">
        <v>4623</v>
      </c>
      <c r="H1505" s="292" t="s">
        <v>4623</v>
      </c>
      <c r="I1505" s="293" t="s">
        <v>4623</v>
      </c>
      <c r="J1505" s="293" t="s">
        <v>4623</v>
      </c>
      <c r="K1505" s="290" t="s">
        <v>4623</v>
      </c>
      <c r="L1505" s="290" t="s">
        <v>4623</v>
      </c>
      <c r="M1505" s="290" t="s">
        <v>4623</v>
      </c>
      <c r="N1505" s="290" t="s">
        <v>4623</v>
      </c>
      <c r="O1505" s="290" t="s">
        <v>4623</v>
      </c>
      <c r="P1505" s="290" t="s">
        <v>999</v>
      </c>
      <c r="Q1505" s="291" t="s">
        <v>4623</v>
      </c>
      <c r="R1505" s="276"/>
      <c r="S1505" s="277">
        <f>IF(OR(C1505="",C1505=T$4),NA(),MATCH($B1505&amp;$C1505,'Smelter Reference List'!$J:$J,0))</f>
        <v>442</v>
      </c>
      <c r="T1505" s="278"/>
      <c r="U1505" s="278"/>
      <c r="V1505" s="278"/>
      <c r="W1505" s="278"/>
    </row>
    <row r="1506" spans="1:23" s="269" customFormat="1" ht="20.25">
      <c r="A1506" s="267"/>
      <c r="B1506" s="275" t="s">
        <v>2437</v>
      </c>
      <c r="C1506" s="275" t="s">
        <v>3831</v>
      </c>
      <c r="D1506" s="168" t="s">
        <v>6985</v>
      </c>
      <c r="E1506" s="168" t="s">
        <v>2294</v>
      </c>
      <c r="F1506" s="168" t="s">
        <v>4623</v>
      </c>
      <c r="G1506" s="168" t="s">
        <v>4623</v>
      </c>
      <c r="H1506" s="292" t="s">
        <v>4623</v>
      </c>
      <c r="I1506" s="293" t="s">
        <v>4623</v>
      </c>
      <c r="J1506" s="293" t="s">
        <v>4623</v>
      </c>
      <c r="K1506" s="290" t="s">
        <v>4623</v>
      </c>
      <c r="L1506" s="290" t="s">
        <v>4623</v>
      </c>
      <c r="M1506" s="290" t="s">
        <v>6377</v>
      </c>
      <c r="N1506" s="290" t="s">
        <v>5000</v>
      </c>
      <c r="O1506" s="290" t="s">
        <v>5000</v>
      </c>
      <c r="P1506" s="290" t="s">
        <v>999</v>
      </c>
      <c r="Q1506" s="291" t="s">
        <v>4623</v>
      </c>
      <c r="R1506" s="276"/>
      <c r="S1506" s="277">
        <f>IF(OR(C1506="",C1506=T$4),NA(),MATCH($B1506&amp;$C1506,'Smelter Reference List'!$J:$J,0))</f>
        <v>442</v>
      </c>
      <c r="T1506" s="278"/>
      <c r="U1506" s="278"/>
      <c r="V1506" s="278"/>
      <c r="W1506" s="278"/>
    </row>
    <row r="1507" spans="1:23" s="269" customFormat="1" ht="20.25">
      <c r="A1507" s="267"/>
      <c r="B1507" s="275" t="s">
        <v>2437</v>
      </c>
      <c r="C1507" s="275" t="s">
        <v>3831</v>
      </c>
      <c r="D1507" s="168" t="s">
        <v>6986</v>
      </c>
      <c r="E1507" s="168" t="s">
        <v>2294</v>
      </c>
      <c r="F1507" s="168" t="s">
        <v>4623</v>
      </c>
      <c r="G1507" s="168" t="s">
        <v>4623</v>
      </c>
      <c r="H1507" s="292" t="s">
        <v>6987</v>
      </c>
      <c r="I1507" s="293" t="s">
        <v>6987</v>
      </c>
      <c r="J1507" s="293" t="s">
        <v>6956</v>
      </c>
      <c r="K1507" s="290" t="s">
        <v>4623</v>
      </c>
      <c r="L1507" s="290" t="s">
        <v>4623</v>
      </c>
      <c r="M1507" s="290" t="s">
        <v>4623</v>
      </c>
      <c r="N1507" s="290" t="s">
        <v>4623</v>
      </c>
      <c r="O1507" s="290" t="s">
        <v>4623</v>
      </c>
      <c r="P1507" s="290" t="s">
        <v>999</v>
      </c>
      <c r="Q1507" s="291" t="s">
        <v>4623</v>
      </c>
      <c r="R1507" s="276"/>
      <c r="S1507" s="277">
        <f>IF(OR(C1507="",C1507=T$4),NA(),MATCH($B1507&amp;$C1507,'Smelter Reference List'!$J:$J,0))</f>
        <v>442</v>
      </c>
      <c r="T1507" s="278"/>
      <c r="U1507" s="278"/>
      <c r="V1507" s="278"/>
      <c r="W1507" s="278"/>
    </row>
    <row r="1508" spans="1:23" s="269" customFormat="1" ht="20.25">
      <c r="A1508" s="267"/>
      <c r="B1508" s="275" t="s">
        <v>2437</v>
      </c>
      <c r="C1508" s="275" t="s">
        <v>3831</v>
      </c>
      <c r="D1508" s="168" t="s">
        <v>6988</v>
      </c>
      <c r="E1508" s="168" t="s">
        <v>2294</v>
      </c>
      <c r="F1508" s="168" t="s">
        <v>4623</v>
      </c>
      <c r="G1508" s="168" t="s">
        <v>4623</v>
      </c>
      <c r="H1508" s="292" t="s">
        <v>4623</v>
      </c>
      <c r="I1508" s="293" t="s">
        <v>4623</v>
      </c>
      <c r="J1508" s="293" t="s">
        <v>4623</v>
      </c>
      <c r="K1508" s="290" t="s">
        <v>4623</v>
      </c>
      <c r="L1508" s="290" t="s">
        <v>4623</v>
      </c>
      <c r="M1508" s="290" t="s">
        <v>4623</v>
      </c>
      <c r="N1508" s="290" t="s">
        <v>4623</v>
      </c>
      <c r="O1508" s="290" t="s">
        <v>4623</v>
      </c>
      <c r="P1508" s="290" t="s">
        <v>999</v>
      </c>
      <c r="Q1508" s="291" t="s">
        <v>4623</v>
      </c>
      <c r="R1508" s="276"/>
      <c r="S1508" s="277">
        <f>IF(OR(C1508="",C1508=T$4),NA(),MATCH($B1508&amp;$C1508,'Smelter Reference List'!$J:$J,0))</f>
        <v>442</v>
      </c>
      <c r="T1508" s="278"/>
      <c r="U1508" s="278"/>
      <c r="V1508" s="278"/>
      <c r="W1508" s="278"/>
    </row>
    <row r="1509" spans="1:23" s="269" customFormat="1" ht="20.25">
      <c r="A1509" s="267"/>
      <c r="B1509" s="275" t="s">
        <v>2437</v>
      </c>
      <c r="C1509" s="275" t="s">
        <v>3831</v>
      </c>
      <c r="D1509" s="168" t="s">
        <v>6989</v>
      </c>
      <c r="E1509" s="168" t="s">
        <v>2294</v>
      </c>
      <c r="F1509" s="168" t="s">
        <v>4623</v>
      </c>
      <c r="G1509" s="168" t="s">
        <v>4623</v>
      </c>
      <c r="H1509" s="292" t="s">
        <v>3364</v>
      </c>
      <c r="I1509" s="293" t="s">
        <v>4623</v>
      </c>
      <c r="J1509" s="293" t="s">
        <v>6990</v>
      </c>
      <c r="K1509" s="290" t="s">
        <v>6991</v>
      </c>
      <c r="L1509" s="290" t="s">
        <v>6921</v>
      </c>
      <c r="M1509" s="290" t="s">
        <v>6967</v>
      </c>
      <c r="N1509" s="290" t="s">
        <v>4667</v>
      </c>
      <c r="O1509" s="290" t="s">
        <v>5827</v>
      </c>
      <c r="P1509" s="290" t="s">
        <v>999</v>
      </c>
      <c r="Q1509" s="291" t="s">
        <v>4623</v>
      </c>
      <c r="R1509" s="276"/>
      <c r="S1509" s="277">
        <f>IF(OR(C1509="",C1509=T$4),NA(),MATCH($B1509&amp;$C1509,'Smelter Reference List'!$J:$J,0))</f>
        <v>442</v>
      </c>
      <c r="T1509" s="278"/>
      <c r="U1509" s="278"/>
      <c r="V1509" s="278"/>
      <c r="W1509" s="278"/>
    </row>
    <row r="1510" spans="1:23" s="269" customFormat="1" ht="20.25">
      <c r="A1510" s="267"/>
      <c r="B1510" s="275" t="s">
        <v>2437</v>
      </c>
      <c r="C1510" s="275" t="s">
        <v>3831</v>
      </c>
      <c r="D1510" s="168" t="s">
        <v>6992</v>
      </c>
      <c r="E1510" s="168" t="s">
        <v>2294</v>
      </c>
      <c r="F1510" s="168" t="s">
        <v>4623</v>
      </c>
      <c r="G1510" s="168" t="s">
        <v>4623</v>
      </c>
      <c r="H1510" s="292" t="s">
        <v>4623</v>
      </c>
      <c r="I1510" s="293" t="s">
        <v>4623</v>
      </c>
      <c r="J1510" s="293" t="s">
        <v>4623</v>
      </c>
      <c r="K1510" s="290" t="s">
        <v>4623</v>
      </c>
      <c r="L1510" s="290" t="s">
        <v>4623</v>
      </c>
      <c r="M1510" s="290" t="s">
        <v>4623</v>
      </c>
      <c r="N1510" s="290" t="s">
        <v>4623</v>
      </c>
      <c r="O1510" s="290" t="s">
        <v>4623</v>
      </c>
      <c r="P1510" s="290" t="s">
        <v>999</v>
      </c>
      <c r="Q1510" s="291" t="s">
        <v>4623</v>
      </c>
      <c r="R1510" s="276"/>
      <c r="S1510" s="277">
        <f>IF(OR(C1510="",C1510=T$4),NA(),MATCH($B1510&amp;$C1510,'Smelter Reference List'!$J:$J,0))</f>
        <v>442</v>
      </c>
      <c r="T1510" s="278"/>
      <c r="U1510" s="278"/>
      <c r="V1510" s="278"/>
      <c r="W1510" s="278"/>
    </row>
    <row r="1511" spans="1:23" s="269" customFormat="1" ht="20.25">
      <c r="A1511" s="267"/>
      <c r="B1511" s="275" t="s">
        <v>2437</v>
      </c>
      <c r="C1511" s="275" t="s">
        <v>3831</v>
      </c>
      <c r="D1511" s="168" t="s">
        <v>6993</v>
      </c>
      <c r="E1511" s="168" t="s">
        <v>2294</v>
      </c>
      <c r="F1511" s="168" t="s">
        <v>4623</v>
      </c>
      <c r="G1511" s="168" t="s">
        <v>4623</v>
      </c>
      <c r="H1511" s="292" t="s">
        <v>6994</v>
      </c>
      <c r="I1511" s="293" t="s">
        <v>4623</v>
      </c>
      <c r="J1511" s="293" t="s">
        <v>6995</v>
      </c>
      <c r="K1511" s="290" t="s">
        <v>4623</v>
      </c>
      <c r="L1511" s="290" t="s">
        <v>4623</v>
      </c>
      <c r="M1511" s="290" t="s">
        <v>4623</v>
      </c>
      <c r="N1511" s="290" t="s">
        <v>4623</v>
      </c>
      <c r="O1511" s="290" t="s">
        <v>4623</v>
      </c>
      <c r="P1511" s="290" t="s">
        <v>999</v>
      </c>
      <c r="Q1511" s="291" t="s">
        <v>4623</v>
      </c>
      <c r="R1511" s="276"/>
      <c r="S1511" s="277">
        <f>IF(OR(C1511="",C1511=T$4),NA(),MATCH($B1511&amp;$C1511,'Smelter Reference List'!$J:$J,0))</f>
        <v>442</v>
      </c>
      <c r="T1511" s="278"/>
      <c r="U1511" s="278"/>
      <c r="V1511" s="278"/>
      <c r="W1511" s="278"/>
    </row>
    <row r="1512" spans="1:23" s="269" customFormat="1" ht="20.25">
      <c r="A1512" s="267"/>
      <c r="B1512" s="275" t="s">
        <v>2437</v>
      </c>
      <c r="C1512" s="275" t="s">
        <v>3831</v>
      </c>
      <c r="D1512" s="168" t="s">
        <v>6996</v>
      </c>
      <c r="E1512" s="168" t="s">
        <v>2294</v>
      </c>
      <c r="F1512" s="168" t="s">
        <v>4623</v>
      </c>
      <c r="G1512" s="168" t="s">
        <v>4623</v>
      </c>
      <c r="H1512" s="292" t="s">
        <v>4623</v>
      </c>
      <c r="I1512" s="293" t="s">
        <v>4623</v>
      </c>
      <c r="J1512" s="293" t="s">
        <v>4623</v>
      </c>
      <c r="K1512" s="290" t="s">
        <v>4623</v>
      </c>
      <c r="L1512" s="290" t="s">
        <v>4623</v>
      </c>
      <c r="M1512" s="290" t="s">
        <v>4623</v>
      </c>
      <c r="N1512" s="290" t="s">
        <v>4623</v>
      </c>
      <c r="O1512" s="290" t="s">
        <v>4623</v>
      </c>
      <c r="P1512" s="290" t="s">
        <v>999</v>
      </c>
      <c r="Q1512" s="291" t="s">
        <v>4623</v>
      </c>
      <c r="R1512" s="276"/>
      <c r="S1512" s="277">
        <f>IF(OR(C1512="",C1512=T$4),NA(),MATCH($B1512&amp;$C1512,'Smelter Reference List'!$J:$J,0))</f>
        <v>442</v>
      </c>
      <c r="T1512" s="278"/>
      <c r="U1512" s="278"/>
      <c r="V1512" s="278"/>
      <c r="W1512" s="278"/>
    </row>
    <row r="1513" spans="1:23" s="269" customFormat="1" ht="20.25">
      <c r="A1513" s="267"/>
      <c r="B1513" s="275" t="s">
        <v>2437</v>
      </c>
      <c r="C1513" s="275" t="s">
        <v>3831</v>
      </c>
      <c r="D1513" s="168" t="s">
        <v>6997</v>
      </c>
      <c r="E1513" s="168" t="s">
        <v>2294</v>
      </c>
      <c r="F1513" s="168" t="s">
        <v>4623</v>
      </c>
      <c r="G1513" s="168" t="s">
        <v>4623</v>
      </c>
      <c r="H1513" s="292" t="s">
        <v>4623</v>
      </c>
      <c r="I1513" s="293" t="s">
        <v>4623</v>
      </c>
      <c r="J1513" s="293" t="s">
        <v>4623</v>
      </c>
      <c r="K1513" s="290" t="s">
        <v>4623</v>
      </c>
      <c r="L1513" s="290" t="s">
        <v>4623</v>
      </c>
      <c r="M1513" s="290" t="s">
        <v>4623</v>
      </c>
      <c r="N1513" s="290" t="s">
        <v>4623</v>
      </c>
      <c r="O1513" s="290" t="s">
        <v>4623</v>
      </c>
      <c r="P1513" s="290" t="s">
        <v>999</v>
      </c>
      <c r="Q1513" s="291" t="s">
        <v>4623</v>
      </c>
      <c r="R1513" s="276"/>
      <c r="S1513" s="277">
        <f>IF(OR(C1513="",C1513=T$4),NA(),MATCH($B1513&amp;$C1513,'Smelter Reference List'!$J:$J,0))</f>
        <v>442</v>
      </c>
      <c r="T1513" s="278"/>
      <c r="U1513" s="278"/>
      <c r="V1513" s="278"/>
      <c r="W1513" s="278"/>
    </row>
    <row r="1514" spans="1:23" s="269" customFormat="1" ht="20.25">
      <c r="A1514" s="267"/>
      <c r="B1514" s="275" t="s">
        <v>2437</v>
      </c>
      <c r="C1514" s="275" t="s">
        <v>3831</v>
      </c>
      <c r="D1514" s="168" t="s">
        <v>6998</v>
      </c>
      <c r="E1514" s="168" t="s">
        <v>2294</v>
      </c>
      <c r="F1514" s="168" t="s">
        <v>4623</v>
      </c>
      <c r="G1514" s="168" t="s">
        <v>4623</v>
      </c>
      <c r="H1514" s="292" t="s">
        <v>4623</v>
      </c>
      <c r="I1514" s="293" t="s">
        <v>4623</v>
      </c>
      <c r="J1514" s="293" t="s">
        <v>4623</v>
      </c>
      <c r="K1514" s="290" t="s">
        <v>4623</v>
      </c>
      <c r="L1514" s="290" t="s">
        <v>4623</v>
      </c>
      <c r="M1514" s="290" t="s">
        <v>4623</v>
      </c>
      <c r="N1514" s="290" t="s">
        <v>4623</v>
      </c>
      <c r="O1514" s="290" t="s">
        <v>4623</v>
      </c>
      <c r="P1514" s="290" t="s">
        <v>999</v>
      </c>
      <c r="Q1514" s="291" t="s">
        <v>4623</v>
      </c>
      <c r="R1514" s="276"/>
      <c r="S1514" s="277">
        <f>IF(OR(C1514="",C1514=T$4),NA(),MATCH($B1514&amp;$C1514,'Smelter Reference List'!$J:$J,0))</f>
        <v>442</v>
      </c>
      <c r="T1514" s="278"/>
      <c r="U1514" s="278"/>
      <c r="V1514" s="278"/>
      <c r="W1514" s="278"/>
    </row>
    <row r="1515" spans="1:23" s="269" customFormat="1" ht="20.25">
      <c r="A1515" s="267"/>
      <c r="B1515" s="275" t="s">
        <v>2437</v>
      </c>
      <c r="C1515" s="275" t="s">
        <v>3831</v>
      </c>
      <c r="D1515" s="168" t="s">
        <v>6999</v>
      </c>
      <c r="E1515" s="168" t="s">
        <v>2294</v>
      </c>
      <c r="F1515" s="168" t="s">
        <v>4623</v>
      </c>
      <c r="G1515" s="168" t="s">
        <v>4623</v>
      </c>
      <c r="H1515" s="292" t="s">
        <v>4623</v>
      </c>
      <c r="I1515" s="293" t="s">
        <v>4623</v>
      </c>
      <c r="J1515" s="293" t="s">
        <v>4623</v>
      </c>
      <c r="K1515" s="290" t="s">
        <v>4623</v>
      </c>
      <c r="L1515" s="290" t="s">
        <v>4623</v>
      </c>
      <c r="M1515" s="290" t="s">
        <v>6377</v>
      </c>
      <c r="N1515" s="290" t="s">
        <v>5000</v>
      </c>
      <c r="O1515" s="290" t="s">
        <v>5000</v>
      </c>
      <c r="P1515" s="290" t="s">
        <v>999</v>
      </c>
      <c r="Q1515" s="291" t="s">
        <v>4623</v>
      </c>
      <c r="R1515" s="276"/>
      <c r="S1515" s="277">
        <f>IF(OR(C1515="",C1515=T$4),NA(),MATCH($B1515&amp;$C1515,'Smelter Reference List'!$J:$J,0))</f>
        <v>442</v>
      </c>
      <c r="T1515" s="278"/>
      <c r="U1515" s="278"/>
      <c r="V1515" s="278"/>
      <c r="W1515" s="278"/>
    </row>
    <row r="1516" spans="1:23" s="269" customFormat="1" ht="20.25">
      <c r="A1516" s="267"/>
      <c r="B1516" s="275" t="s">
        <v>2437</v>
      </c>
      <c r="C1516" s="275" t="s">
        <v>3831</v>
      </c>
      <c r="D1516" s="168" t="s">
        <v>7000</v>
      </c>
      <c r="E1516" s="168" t="s">
        <v>2294</v>
      </c>
      <c r="F1516" s="168" t="s">
        <v>4623</v>
      </c>
      <c r="G1516" s="168" t="s">
        <v>4623</v>
      </c>
      <c r="H1516" s="292" t="s">
        <v>4623</v>
      </c>
      <c r="I1516" s="293" t="s">
        <v>4623</v>
      </c>
      <c r="J1516" s="293" t="s">
        <v>4623</v>
      </c>
      <c r="K1516" s="290" t="s">
        <v>4623</v>
      </c>
      <c r="L1516" s="290" t="s">
        <v>4623</v>
      </c>
      <c r="M1516" s="290" t="s">
        <v>6377</v>
      </c>
      <c r="N1516" s="290" t="s">
        <v>5000</v>
      </c>
      <c r="O1516" s="290" t="s">
        <v>5000</v>
      </c>
      <c r="P1516" s="290" t="s">
        <v>999</v>
      </c>
      <c r="Q1516" s="291" t="s">
        <v>4623</v>
      </c>
      <c r="R1516" s="276"/>
      <c r="S1516" s="277">
        <f>IF(OR(C1516="",C1516=T$4),NA(),MATCH($B1516&amp;$C1516,'Smelter Reference List'!$J:$J,0))</f>
        <v>442</v>
      </c>
      <c r="T1516" s="278"/>
      <c r="U1516" s="278"/>
      <c r="V1516" s="278"/>
      <c r="W1516" s="278"/>
    </row>
    <row r="1517" spans="1:23" s="269" customFormat="1" ht="20.25">
      <c r="A1517" s="267"/>
      <c r="B1517" s="275" t="s">
        <v>2437</v>
      </c>
      <c r="C1517" s="275" t="s">
        <v>3831</v>
      </c>
      <c r="D1517" s="168" t="s">
        <v>7001</v>
      </c>
      <c r="E1517" s="168" t="s">
        <v>2294</v>
      </c>
      <c r="F1517" s="168" t="s">
        <v>4623</v>
      </c>
      <c r="G1517" s="168" t="s">
        <v>4623</v>
      </c>
      <c r="H1517" s="292" t="s">
        <v>4623</v>
      </c>
      <c r="I1517" s="293" t="s">
        <v>4623</v>
      </c>
      <c r="J1517" s="293" t="s">
        <v>4623</v>
      </c>
      <c r="K1517" s="290" t="s">
        <v>4623</v>
      </c>
      <c r="L1517" s="290" t="s">
        <v>4623</v>
      </c>
      <c r="M1517" s="290" t="s">
        <v>6377</v>
      </c>
      <c r="N1517" s="290" t="s">
        <v>5000</v>
      </c>
      <c r="O1517" s="290" t="s">
        <v>5000</v>
      </c>
      <c r="P1517" s="290" t="s">
        <v>999</v>
      </c>
      <c r="Q1517" s="291" t="s">
        <v>4623</v>
      </c>
      <c r="R1517" s="276"/>
      <c r="S1517" s="277">
        <f>IF(OR(C1517="",C1517=T$4),NA(),MATCH($B1517&amp;$C1517,'Smelter Reference List'!$J:$J,0))</f>
        <v>442</v>
      </c>
      <c r="T1517" s="278"/>
      <c r="U1517" s="278"/>
      <c r="V1517" s="278"/>
      <c r="W1517" s="278"/>
    </row>
    <row r="1518" spans="1:23" s="269" customFormat="1" ht="20.25">
      <c r="A1518" s="267"/>
      <c r="B1518" s="275" t="s">
        <v>2437</v>
      </c>
      <c r="C1518" s="275" t="s">
        <v>3831</v>
      </c>
      <c r="D1518" s="168" t="s">
        <v>7002</v>
      </c>
      <c r="E1518" s="168" t="s">
        <v>2294</v>
      </c>
      <c r="F1518" s="168" t="s">
        <v>4623</v>
      </c>
      <c r="G1518" s="168" t="s">
        <v>4623</v>
      </c>
      <c r="H1518" s="292" t="s">
        <v>4623</v>
      </c>
      <c r="I1518" s="293" t="s">
        <v>5028</v>
      </c>
      <c r="J1518" s="293" t="s">
        <v>3364</v>
      </c>
      <c r="K1518" s="290" t="s">
        <v>7003</v>
      </c>
      <c r="L1518" s="290" t="s">
        <v>7004</v>
      </c>
      <c r="M1518" s="290" t="s">
        <v>4623</v>
      </c>
      <c r="N1518" s="290" t="s">
        <v>4623</v>
      </c>
      <c r="O1518" s="290" t="s">
        <v>4667</v>
      </c>
      <c r="P1518" s="290" t="s">
        <v>999</v>
      </c>
      <c r="Q1518" s="291" t="s">
        <v>4623</v>
      </c>
      <c r="R1518" s="276"/>
      <c r="S1518" s="277">
        <f>IF(OR(C1518="",C1518=T$4),NA(),MATCH($B1518&amp;$C1518,'Smelter Reference List'!$J:$J,0))</f>
        <v>442</v>
      </c>
      <c r="T1518" s="278"/>
      <c r="U1518" s="278"/>
      <c r="V1518" s="278"/>
      <c r="W1518" s="278"/>
    </row>
    <row r="1519" spans="1:23" s="269" customFormat="1" ht="20.25">
      <c r="A1519" s="267"/>
      <c r="B1519" s="275" t="s">
        <v>2437</v>
      </c>
      <c r="C1519" s="275" t="s">
        <v>3831</v>
      </c>
      <c r="D1519" s="168" t="s">
        <v>7005</v>
      </c>
      <c r="E1519" s="168" t="s">
        <v>2294</v>
      </c>
      <c r="F1519" s="168" t="s">
        <v>4623</v>
      </c>
      <c r="G1519" s="168" t="s">
        <v>4623</v>
      </c>
      <c r="H1519" s="292" t="s">
        <v>4623</v>
      </c>
      <c r="I1519" s="293" t="s">
        <v>4623</v>
      </c>
      <c r="J1519" s="293" t="s">
        <v>4623</v>
      </c>
      <c r="K1519" s="290" t="s">
        <v>4623</v>
      </c>
      <c r="L1519" s="290" t="s">
        <v>4623</v>
      </c>
      <c r="M1519" s="290" t="s">
        <v>6377</v>
      </c>
      <c r="N1519" s="290" t="s">
        <v>5000</v>
      </c>
      <c r="O1519" s="290" t="s">
        <v>5000</v>
      </c>
      <c r="P1519" s="290" t="s">
        <v>999</v>
      </c>
      <c r="Q1519" s="291" t="s">
        <v>4623</v>
      </c>
      <c r="R1519" s="276"/>
      <c r="S1519" s="277">
        <f>IF(OR(C1519="",C1519=T$4),NA(),MATCH($B1519&amp;$C1519,'Smelter Reference List'!$J:$J,0))</f>
        <v>442</v>
      </c>
      <c r="T1519" s="278"/>
      <c r="U1519" s="278"/>
      <c r="V1519" s="278"/>
      <c r="W1519" s="278"/>
    </row>
    <row r="1520" spans="1:23" s="269" customFormat="1" ht="20.25">
      <c r="A1520" s="267"/>
      <c r="B1520" s="275" t="s">
        <v>2437</v>
      </c>
      <c r="C1520" s="275" t="s">
        <v>3831</v>
      </c>
      <c r="D1520" s="168" t="s">
        <v>7006</v>
      </c>
      <c r="E1520" s="168" t="s">
        <v>2294</v>
      </c>
      <c r="F1520" s="168" t="s">
        <v>4623</v>
      </c>
      <c r="G1520" s="168" t="s">
        <v>4623</v>
      </c>
      <c r="H1520" s="292" t="s">
        <v>4623</v>
      </c>
      <c r="I1520" s="293" t="s">
        <v>7007</v>
      </c>
      <c r="J1520" s="293" t="s">
        <v>7008</v>
      </c>
      <c r="K1520" s="290" t="s">
        <v>4623</v>
      </c>
      <c r="L1520" s="290" t="s">
        <v>4623</v>
      </c>
      <c r="M1520" s="290" t="s">
        <v>4623</v>
      </c>
      <c r="N1520" s="290" t="s">
        <v>4623</v>
      </c>
      <c r="O1520" s="290" t="s">
        <v>4623</v>
      </c>
      <c r="P1520" s="290" t="s">
        <v>999</v>
      </c>
      <c r="Q1520" s="291" t="s">
        <v>7009</v>
      </c>
      <c r="R1520" s="276"/>
      <c r="S1520" s="277">
        <f>IF(OR(C1520="",C1520=T$4),NA(),MATCH($B1520&amp;$C1520,'Smelter Reference List'!$J:$J,0))</f>
        <v>442</v>
      </c>
      <c r="T1520" s="278"/>
      <c r="U1520" s="278"/>
      <c r="V1520" s="278"/>
      <c r="W1520" s="278"/>
    </row>
    <row r="1521" spans="1:23" s="269" customFormat="1" ht="20.25">
      <c r="A1521" s="267"/>
      <c r="B1521" s="275" t="s">
        <v>2437</v>
      </c>
      <c r="C1521" s="275" t="s">
        <v>3831</v>
      </c>
      <c r="D1521" s="168" t="s">
        <v>2577</v>
      </c>
      <c r="E1521" s="168" t="s">
        <v>2294</v>
      </c>
      <c r="F1521" s="168" t="s">
        <v>4623</v>
      </c>
      <c r="G1521" s="168" t="s">
        <v>4623</v>
      </c>
      <c r="H1521" s="292" t="s">
        <v>4623</v>
      </c>
      <c r="I1521" s="293" t="s">
        <v>4623</v>
      </c>
      <c r="J1521" s="293" t="s">
        <v>4623</v>
      </c>
      <c r="K1521" s="290" t="s">
        <v>4623</v>
      </c>
      <c r="L1521" s="290" t="s">
        <v>4623</v>
      </c>
      <c r="M1521" s="290" t="s">
        <v>4623</v>
      </c>
      <c r="N1521" s="290" t="s">
        <v>4623</v>
      </c>
      <c r="O1521" s="290" t="s">
        <v>4623</v>
      </c>
      <c r="P1521" s="290" t="s">
        <v>999</v>
      </c>
      <c r="Q1521" s="291" t="s">
        <v>4623</v>
      </c>
      <c r="R1521" s="276"/>
      <c r="S1521" s="277">
        <f>IF(OR(C1521="",C1521=T$4),NA(),MATCH($B1521&amp;$C1521,'Smelter Reference List'!$J:$J,0))</f>
        <v>442</v>
      </c>
      <c r="T1521" s="278"/>
      <c r="U1521" s="278"/>
      <c r="V1521" s="278"/>
      <c r="W1521" s="278"/>
    </row>
    <row r="1522" spans="1:23" s="269" customFormat="1" ht="20.25">
      <c r="A1522" s="267"/>
      <c r="B1522" s="275" t="s">
        <v>2437</v>
      </c>
      <c r="C1522" s="275" t="s">
        <v>3831</v>
      </c>
      <c r="D1522" s="168" t="s">
        <v>7010</v>
      </c>
      <c r="E1522" s="168" t="s">
        <v>2294</v>
      </c>
      <c r="F1522" s="168" t="s">
        <v>4623</v>
      </c>
      <c r="G1522" s="168" t="s">
        <v>4623</v>
      </c>
      <c r="H1522" s="292" t="s">
        <v>5405</v>
      </c>
      <c r="I1522" s="293" t="s">
        <v>3545</v>
      </c>
      <c r="J1522" s="293" t="s">
        <v>7011</v>
      </c>
      <c r="K1522" s="290" t="s">
        <v>7012</v>
      </c>
      <c r="L1522" s="290" t="s">
        <v>4623</v>
      </c>
      <c r="M1522" s="290" t="s">
        <v>4623</v>
      </c>
      <c r="N1522" s="290" t="s">
        <v>4623</v>
      </c>
      <c r="O1522" s="290" t="s">
        <v>4623</v>
      </c>
      <c r="P1522" s="290" t="s">
        <v>999</v>
      </c>
      <c r="Q1522" s="291" t="s">
        <v>4623</v>
      </c>
      <c r="R1522" s="276"/>
      <c r="S1522" s="277">
        <f>IF(OR(C1522="",C1522=T$4),NA(),MATCH($B1522&amp;$C1522,'Smelter Reference List'!$J:$J,0))</f>
        <v>442</v>
      </c>
      <c r="T1522" s="278"/>
      <c r="U1522" s="278"/>
      <c r="V1522" s="278"/>
      <c r="W1522" s="278"/>
    </row>
    <row r="1523" spans="1:23" s="269" customFormat="1" ht="20.25">
      <c r="A1523" s="267"/>
      <c r="B1523" s="275" t="s">
        <v>2437</v>
      </c>
      <c r="C1523" s="275" t="s">
        <v>3831</v>
      </c>
      <c r="D1523" s="168" t="s">
        <v>7013</v>
      </c>
      <c r="E1523" s="168" t="s">
        <v>2294</v>
      </c>
      <c r="F1523" s="168" t="s">
        <v>4623</v>
      </c>
      <c r="G1523" s="168" t="s">
        <v>4623</v>
      </c>
      <c r="H1523" s="292" t="s">
        <v>7014</v>
      </c>
      <c r="I1523" s="293" t="s">
        <v>4980</v>
      </c>
      <c r="J1523" s="293" t="s">
        <v>4969</v>
      </c>
      <c r="K1523" s="290" t="s">
        <v>4623</v>
      </c>
      <c r="L1523" s="290" t="s">
        <v>4623</v>
      </c>
      <c r="M1523" s="290" t="s">
        <v>4623</v>
      </c>
      <c r="N1523" s="290" t="s">
        <v>4623</v>
      </c>
      <c r="O1523" s="290" t="s">
        <v>4623</v>
      </c>
      <c r="P1523" s="290" t="s">
        <v>999</v>
      </c>
      <c r="Q1523" s="291" t="s">
        <v>4623</v>
      </c>
      <c r="R1523" s="276"/>
      <c r="S1523" s="277">
        <f>IF(OR(C1523="",C1523=T$4),NA(),MATCH($B1523&amp;$C1523,'Smelter Reference List'!$J:$J,0))</f>
        <v>442</v>
      </c>
      <c r="T1523" s="278"/>
      <c r="U1523" s="278"/>
      <c r="V1523" s="278"/>
      <c r="W1523" s="278"/>
    </row>
    <row r="1524" spans="1:23" s="269" customFormat="1" ht="20.25">
      <c r="A1524" s="267"/>
      <c r="B1524" s="275" t="s">
        <v>2437</v>
      </c>
      <c r="C1524" s="275" t="s">
        <v>3831</v>
      </c>
      <c r="D1524" s="168" t="s">
        <v>7015</v>
      </c>
      <c r="E1524" s="168" t="s">
        <v>2294</v>
      </c>
      <c r="F1524" s="168" t="s">
        <v>4623</v>
      </c>
      <c r="G1524" s="168" t="s">
        <v>4623</v>
      </c>
      <c r="H1524" s="292" t="s">
        <v>4623</v>
      </c>
      <c r="I1524" s="293" t="s">
        <v>4623</v>
      </c>
      <c r="J1524" s="293" t="s">
        <v>4623</v>
      </c>
      <c r="K1524" s="290" t="s">
        <v>4623</v>
      </c>
      <c r="L1524" s="290" t="s">
        <v>4623</v>
      </c>
      <c r="M1524" s="290" t="s">
        <v>4623</v>
      </c>
      <c r="N1524" s="290" t="s">
        <v>4623</v>
      </c>
      <c r="O1524" s="290" t="s">
        <v>4623</v>
      </c>
      <c r="P1524" s="290" t="s">
        <v>999</v>
      </c>
      <c r="Q1524" s="291" t="s">
        <v>4623</v>
      </c>
      <c r="R1524" s="276"/>
      <c r="S1524" s="277">
        <f>IF(OR(C1524="",C1524=T$4),NA(),MATCH($B1524&amp;$C1524,'Smelter Reference List'!$J:$J,0))</f>
        <v>442</v>
      </c>
      <c r="T1524" s="278"/>
      <c r="U1524" s="278"/>
      <c r="V1524" s="278"/>
      <c r="W1524" s="278"/>
    </row>
    <row r="1525" spans="1:23" s="269" customFormat="1" ht="20.25">
      <c r="A1525" s="267"/>
      <c r="B1525" s="275" t="s">
        <v>2437</v>
      </c>
      <c r="C1525" s="275" t="s">
        <v>3831</v>
      </c>
      <c r="D1525" s="168" t="s">
        <v>7016</v>
      </c>
      <c r="E1525" s="168" t="s">
        <v>2294</v>
      </c>
      <c r="F1525" s="168" t="s">
        <v>4623</v>
      </c>
      <c r="G1525" s="168" t="s">
        <v>4623</v>
      </c>
      <c r="H1525" s="292" t="s">
        <v>4623</v>
      </c>
      <c r="I1525" s="293" t="s">
        <v>4623</v>
      </c>
      <c r="J1525" s="293" t="s">
        <v>4623</v>
      </c>
      <c r="K1525" s="290" t="s">
        <v>4623</v>
      </c>
      <c r="L1525" s="290" t="s">
        <v>4623</v>
      </c>
      <c r="M1525" s="290" t="s">
        <v>6377</v>
      </c>
      <c r="N1525" s="290" t="s">
        <v>5000</v>
      </c>
      <c r="O1525" s="290" t="s">
        <v>5000</v>
      </c>
      <c r="P1525" s="290" t="s">
        <v>999</v>
      </c>
      <c r="Q1525" s="291" t="s">
        <v>4623</v>
      </c>
      <c r="R1525" s="276"/>
      <c r="S1525" s="277">
        <f>IF(OR(C1525="",C1525=T$4),NA(),MATCH($B1525&amp;$C1525,'Smelter Reference List'!$J:$J,0))</f>
        <v>442</v>
      </c>
      <c r="T1525" s="278"/>
      <c r="U1525" s="278"/>
      <c r="V1525" s="278"/>
      <c r="W1525" s="278"/>
    </row>
    <row r="1526" spans="1:23" s="269" customFormat="1" ht="20.25">
      <c r="A1526" s="267"/>
      <c r="B1526" s="275" t="s">
        <v>2437</v>
      </c>
      <c r="C1526" s="275" t="s">
        <v>3831</v>
      </c>
      <c r="D1526" s="168" t="s">
        <v>7017</v>
      </c>
      <c r="E1526" s="168" t="s">
        <v>2294</v>
      </c>
      <c r="F1526" s="168" t="s">
        <v>4623</v>
      </c>
      <c r="G1526" s="168" t="s">
        <v>4623</v>
      </c>
      <c r="H1526" s="292" t="s">
        <v>7018</v>
      </c>
      <c r="I1526" s="293" t="s">
        <v>3545</v>
      </c>
      <c r="J1526" s="293" t="s">
        <v>7019</v>
      </c>
      <c r="K1526" s="290" t="s">
        <v>7020</v>
      </c>
      <c r="L1526" s="290" t="s">
        <v>4623</v>
      </c>
      <c r="M1526" s="290" t="s">
        <v>4623</v>
      </c>
      <c r="N1526" s="290" t="s">
        <v>4623</v>
      </c>
      <c r="O1526" s="290" t="s">
        <v>4623</v>
      </c>
      <c r="P1526" s="290" t="s">
        <v>999</v>
      </c>
      <c r="Q1526" s="291" t="s">
        <v>4623</v>
      </c>
      <c r="R1526" s="276"/>
      <c r="S1526" s="277">
        <f>IF(OR(C1526="",C1526=T$4),NA(),MATCH($B1526&amp;$C1526,'Smelter Reference List'!$J:$J,0))</f>
        <v>442</v>
      </c>
      <c r="T1526" s="278"/>
      <c r="U1526" s="278"/>
      <c r="V1526" s="278"/>
      <c r="W1526" s="278"/>
    </row>
    <row r="1527" spans="1:23" s="269" customFormat="1" ht="20.25">
      <c r="A1527" s="267"/>
      <c r="B1527" s="275" t="s">
        <v>2437</v>
      </c>
      <c r="C1527" s="275" t="s">
        <v>3831</v>
      </c>
      <c r="D1527" s="168" t="s">
        <v>5406</v>
      </c>
      <c r="E1527" s="168" t="s">
        <v>2294</v>
      </c>
      <c r="F1527" s="168" t="s">
        <v>4623</v>
      </c>
      <c r="G1527" s="168" t="s">
        <v>4623</v>
      </c>
      <c r="H1527" s="292" t="s">
        <v>4623</v>
      </c>
      <c r="I1527" s="293" t="s">
        <v>4623</v>
      </c>
      <c r="J1527" s="293" t="s">
        <v>4623</v>
      </c>
      <c r="K1527" s="290" t="s">
        <v>4623</v>
      </c>
      <c r="L1527" s="290" t="s">
        <v>4623</v>
      </c>
      <c r="M1527" s="290" t="s">
        <v>4623</v>
      </c>
      <c r="N1527" s="290" t="s">
        <v>4623</v>
      </c>
      <c r="O1527" s="290" t="s">
        <v>4623</v>
      </c>
      <c r="P1527" s="290" t="s">
        <v>999</v>
      </c>
      <c r="Q1527" s="291" t="s">
        <v>4623</v>
      </c>
      <c r="R1527" s="276"/>
      <c r="S1527" s="277">
        <f>IF(OR(C1527="",C1527=T$4),NA(),MATCH($B1527&amp;$C1527,'Smelter Reference List'!$J:$J,0))</f>
        <v>442</v>
      </c>
      <c r="T1527" s="278"/>
      <c r="U1527" s="278"/>
      <c r="V1527" s="278"/>
      <c r="W1527" s="278"/>
    </row>
    <row r="1528" spans="1:23" s="269" customFormat="1" ht="20.25">
      <c r="A1528" s="267"/>
      <c r="B1528" s="275" t="s">
        <v>2437</v>
      </c>
      <c r="C1528" s="275" t="s">
        <v>3831</v>
      </c>
      <c r="D1528" s="168" t="s">
        <v>7021</v>
      </c>
      <c r="E1528" s="168" t="s">
        <v>2294</v>
      </c>
      <c r="F1528" s="168" t="s">
        <v>4623</v>
      </c>
      <c r="G1528" s="168" t="s">
        <v>4623</v>
      </c>
      <c r="H1528" s="292" t="s">
        <v>4623</v>
      </c>
      <c r="I1528" s="293" t="s">
        <v>4623</v>
      </c>
      <c r="J1528" s="293" t="s">
        <v>4623</v>
      </c>
      <c r="K1528" s="290" t="s">
        <v>4623</v>
      </c>
      <c r="L1528" s="290" t="s">
        <v>4623</v>
      </c>
      <c r="M1528" s="290" t="s">
        <v>6377</v>
      </c>
      <c r="N1528" s="290" t="s">
        <v>5000</v>
      </c>
      <c r="O1528" s="290" t="s">
        <v>5000</v>
      </c>
      <c r="P1528" s="290" t="s">
        <v>999</v>
      </c>
      <c r="Q1528" s="291" t="s">
        <v>4623</v>
      </c>
      <c r="R1528" s="276"/>
      <c r="S1528" s="277">
        <f>IF(OR(C1528="",C1528=T$4),NA(),MATCH($B1528&amp;$C1528,'Smelter Reference List'!$J:$J,0))</f>
        <v>442</v>
      </c>
      <c r="T1528" s="278"/>
      <c r="U1528" s="278"/>
      <c r="V1528" s="278"/>
      <c r="W1528" s="278"/>
    </row>
    <row r="1529" spans="1:23" s="269" customFormat="1" ht="20.25">
      <c r="A1529" s="267"/>
      <c r="B1529" s="275" t="s">
        <v>2437</v>
      </c>
      <c r="C1529" s="275" t="s">
        <v>3831</v>
      </c>
      <c r="D1529" s="168" t="s">
        <v>7022</v>
      </c>
      <c r="E1529" s="168" t="s">
        <v>2294</v>
      </c>
      <c r="F1529" s="168" t="s">
        <v>4623</v>
      </c>
      <c r="G1529" s="168" t="s">
        <v>4623</v>
      </c>
      <c r="H1529" s="292" t="s">
        <v>4623</v>
      </c>
      <c r="I1529" s="293" t="s">
        <v>4623</v>
      </c>
      <c r="J1529" s="293" t="s">
        <v>4623</v>
      </c>
      <c r="K1529" s="290" t="s">
        <v>4623</v>
      </c>
      <c r="L1529" s="290" t="s">
        <v>4623</v>
      </c>
      <c r="M1529" s="290" t="s">
        <v>4623</v>
      </c>
      <c r="N1529" s="290" t="s">
        <v>4623</v>
      </c>
      <c r="O1529" s="290" t="s">
        <v>4623</v>
      </c>
      <c r="P1529" s="290" t="s">
        <v>999</v>
      </c>
      <c r="Q1529" s="291" t="s">
        <v>4623</v>
      </c>
      <c r="R1529" s="276"/>
      <c r="S1529" s="277">
        <f>IF(OR(C1529="",C1529=T$4),NA(),MATCH($B1529&amp;$C1529,'Smelter Reference List'!$J:$J,0))</f>
        <v>442</v>
      </c>
      <c r="T1529" s="278"/>
      <c r="U1529" s="278"/>
      <c r="V1529" s="278"/>
      <c r="W1529" s="278"/>
    </row>
    <row r="1530" spans="1:23" s="269" customFormat="1" ht="20.25">
      <c r="A1530" s="267"/>
      <c r="B1530" s="275" t="s">
        <v>2437</v>
      </c>
      <c r="C1530" s="275" t="s">
        <v>3831</v>
      </c>
      <c r="D1530" s="168" t="s">
        <v>7023</v>
      </c>
      <c r="E1530" s="168" t="s">
        <v>2294</v>
      </c>
      <c r="F1530" s="168" t="s">
        <v>4623</v>
      </c>
      <c r="G1530" s="168" t="s">
        <v>4623</v>
      </c>
      <c r="H1530" s="292" t="s">
        <v>4623</v>
      </c>
      <c r="I1530" s="293" t="s">
        <v>4623</v>
      </c>
      <c r="J1530" s="293" t="s">
        <v>4623</v>
      </c>
      <c r="K1530" s="290" t="s">
        <v>4623</v>
      </c>
      <c r="L1530" s="290" t="s">
        <v>4623</v>
      </c>
      <c r="M1530" s="290" t="s">
        <v>4623</v>
      </c>
      <c r="N1530" s="290" t="s">
        <v>4623</v>
      </c>
      <c r="O1530" s="290" t="s">
        <v>4623</v>
      </c>
      <c r="P1530" s="290" t="s">
        <v>999</v>
      </c>
      <c r="Q1530" s="291" t="s">
        <v>4623</v>
      </c>
      <c r="R1530" s="276"/>
      <c r="S1530" s="277">
        <f>IF(OR(C1530="",C1530=T$4),NA(),MATCH($B1530&amp;$C1530,'Smelter Reference List'!$J:$J,0))</f>
        <v>442</v>
      </c>
      <c r="T1530" s="278"/>
      <c r="U1530" s="278"/>
      <c r="V1530" s="278"/>
      <c r="W1530" s="278"/>
    </row>
    <row r="1531" spans="1:23" s="269" customFormat="1" ht="20.25">
      <c r="A1531" s="267"/>
      <c r="B1531" s="275" t="s">
        <v>2437</v>
      </c>
      <c r="C1531" s="275" t="s">
        <v>3831</v>
      </c>
      <c r="D1531" s="168" t="s">
        <v>7024</v>
      </c>
      <c r="E1531" s="168" t="s">
        <v>2294</v>
      </c>
      <c r="F1531" s="168" t="s">
        <v>4623</v>
      </c>
      <c r="G1531" s="168" t="s">
        <v>4623</v>
      </c>
      <c r="H1531" s="292" t="s">
        <v>4623</v>
      </c>
      <c r="I1531" s="293" t="s">
        <v>4623</v>
      </c>
      <c r="J1531" s="293" t="s">
        <v>4623</v>
      </c>
      <c r="K1531" s="290" t="s">
        <v>4623</v>
      </c>
      <c r="L1531" s="290" t="s">
        <v>4623</v>
      </c>
      <c r="M1531" s="290" t="s">
        <v>4623</v>
      </c>
      <c r="N1531" s="290" t="s">
        <v>4623</v>
      </c>
      <c r="O1531" s="290" t="s">
        <v>4623</v>
      </c>
      <c r="P1531" s="290" t="s">
        <v>999</v>
      </c>
      <c r="Q1531" s="291" t="s">
        <v>5492</v>
      </c>
      <c r="R1531" s="276"/>
      <c r="S1531" s="277">
        <f>IF(OR(C1531="",C1531=T$4),NA(),MATCH($B1531&amp;$C1531,'Smelter Reference List'!$J:$J,0))</f>
        <v>442</v>
      </c>
      <c r="T1531" s="278"/>
      <c r="U1531" s="278"/>
      <c r="V1531" s="278"/>
      <c r="W1531" s="278"/>
    </row>
    <row r="1532" spans="1:23" s="269" customFormat="1" ht="20.25">
      <c r="A1532" s="267"/>
      <c r="B1532" s="275" t="s">
        <v>2437</v>
      </c>
      <c r="C1532" s="275" t="s">
        <v>3831</v>
      </c>
      <c r="D1532" s="168" t="s">
        <v>7025</v>
      </c>
      <c r="E1532" s="168" t="s">
        <v>2294</v>
      </c>
      <c r="F1532" s="168" t="s">
        <v>4623</v>
      </c>
      <c r="G1532" s="168" t="s">
        <v>4623</v>
      </c>
      <c r="H1532" s="292" t="s">
        <v>4623</v>
      </c>
      <c r="I1532" s="293" t="s">
        <v>4623</v>
      </c>
      <c r="J1532" s="293" t="s">
        <v>4623</v>
      </c>
      <c r="K1532" s="290" t="s">
        <v>4623</v>
      </c>
      <c r="L1532" s="290" t="s">
        <v>4623</v>
      </c>
      <c r="M1532" s="290" t="s">
        <v>4623</v>
      </c>
      <c r="N1532" s="290" t="s">
        <v>4623</v>
      </c>
      <c r="O1532" s="290" t="s">
        <v>4623</v>
      </c>
      <c r="P1532" s="290" t="s">
        <v>999</v>
      </c>
      <c r="Q1532" s="291" t="s">
        <v>7026</v>
      </c>
      <c r="R1532" s="276"/>
      <c r="S1532" s="277">
        <f>IF(OR(C1532="",C1532=T$4),NA(),MATCH($B1532&amp;$C1532,'Smelter Reference List'!$J:$J,0))</f>
        <v>442</v>
      </c>
      <c r="T1532" s="278"/>
      <c r="U1532" s="278"/>
      <c r="V1532" s="278"/>
      <c r="W1532" s="278"/>
    </row>
    <row r="1533" spans="1:23" s="269" customFormat="1" ht="20.25">
      <c r="A1533" s="267"/>
      <c r="B1533" s="275" t="s">
        <v>2437</v>
      </c>
      <c r="C1533" s="275" t="s">
        <v>3831</v>
      </c>
      <c r="D1533" s="168" t="s">
        <v>7027</v>
      </c>
      <c r="E1533" s="168" t="s">
        <v>2294</v>
      </c>
      <c r="F1533" s="168" t="s">
        <v>4623</v>
      </c>
      <c r="G1533" s="168" t="s">
        <v>4623</v>
      </c>
      <c r="H1533" s="292" t="s">
        <v>4623</v>
      </c>
      <c r="I1533" s="293" t="s">
        <v>4623</v>
      </c>
      <c r="J1533" s="293" t="s">
        <v>4623</v>
      </c>
      <c r="K1533" s="290" t="s">
        <v>4623</v>
      </c>
      <c r="L1533" s="290" t="s">
        <v>4623</v>
      </c>
      <c r="M1533" s="290" t="s">
        <v>4623</v>
      </c>
      <c r="N1533" s="290" t="s">
        <v>4623</v>
      </c>
      <c r="O1533" s="290" t="s">
        <v>4623</v>
      </c>
      <c r="P1533" s="290" t="s">
        <v>999</v>
      </c>
      <c r="Q1533" s="291" t="s">
        <v>4623</v>
      </c>
      <c r="R1533" s="276"/>
      <c r="S1533" s="277">
        <f>IF(OR(C1533="",C1533=T$4),NA(),MATCH($B1533&amp;$C1533,'Smelter Reference List'!$J:$J,0))</f>
        <v>442</v>
      </c>
      <c r="T1533" s="278"/>
      <c r="U1533" s="278"/>
      <c r="V1533" s="278"/>
      <c r="W1533" s="278"/>
    </row>
    <row r="1534" spans="1:23" s="269" customFormat="1" ht="20.25">
      <c r="A1534" s="267"/>
      <c r="B1534" s="275" t="s">
        <v>2437</v>
      </c>
      <c r="C1534" s="275" t="s">
        <v>3831</v>
      </c>
      <c r="D1534" s="168" t="s">
        <v>7028</v>
      </c>
      <c r="E1534" s="168" t="s">
        <v>2307</v>
      </c>
      <c r="F1534" s="168" t="s">
        <v>4623</v>
      </c>
      <c r="G1534" s="168" t="s">
        <v>4623</v>
      </c>
      <c r="H1534" s="292" t="s">
        <v>4623</v>
      </c>
      <c r="I1534" s="293" t="s">
        <v>4623</v>
      </c>
      <c r="J1534" s="293" t="s">
        <v>4623</v>
      </c>
      <c r="K1534" s="290" t="s">
        <v>4623</v>
      </c>
      <c r="L1534" s="290" t="s">
        <v>4623</v>
      </c>
      <c r="M1534" s="290" t="s">
        <v>4623</v>
      </c>
      <c r="N1534" s="290" t="s">
        <v>4623</v>
      </c>
      <c r="O1534" s="290" t="s">
        <v>4623</v>
      </c>
      <c r="P1534" s="290" t="s">
        <v>999</v>
      </c>
      <c r="Q1534" s="291" t="s">
        <v>4623</v>
      </c>
      <c r="R1534" s="276"/>
      <c r="S1534" s="277">
        <f>IF(OR(C1534="",C1534=T$4),NA(),MATCH($B1534&amp;$C1534,'Smelter Reference List'!$J:$J,0))</f>
        <v>442</v>
      </c>
      <c r="T1534" s="278"/>
      <c r="U1534" s="278"/>
      <c r="V1534" s="278"/>
      <c r="W1534" s="278"/>
    </row>
    <row r="1535" spans="1:23" s="269" customFormat="1" ht="20.25">
      <c r="A1535" s="267"/>
      <c r="B1535" s="275" t="s">
        <v>2437</v>
      </c>
      <c r="C1535" s="275" t="s">
        <v>3831</v>
      </c>
      <c r="D1535" s="168" t="s">
        <v>7029</v>
      </c>
      <c r="E1535" s="168" t="s">
        <v>2307</v>
      </c>
      <c r="F1535" s="168" t="s">
        <v>4623</v>
      </c>
      <c r="G1535" s="168" t="s">
        <v>4623</v>
      </c>
      <c r="H1535" s="292" t="s">
        <v>4623</v>
      </c>
      <c r="I1535" s="293" t="s">
        <v>4623</v>
      </c>
      <c r="J1535" s="293" t="s">
        <v>4623</v>
      </c>
      <c r="K1535" s="290" t="s">
        <v>4623</v>
      </c>
      <c r="L1535" s="290" t="s">
        <v>4623</v>
      </c>
      <c r="M1535" s="290" t="s">
        <v>4623</v>
      </c>
      <c r="N1535" s="290" t="s">
        <v>4623</v>
      </c>
      <c r="O1535" s="290" t="s">
        <v>4623</v>
      </c>
      <c r="P1535" s="290" t="s">
        <v>999</v>
      </c>
      <c r="Q1535" s="291" t="s">
        <v>4623</v>
      </c>
      <c r="R1535" s="276"/>
      <c r="S1535" s="277">
        <f>IF(OR(C1535="",C1535=T$4),NA(),MATCH($B1535&amp;$C1535,'Smelter Reference List'!$J:$J,0))</f>
        <v>442</v>
      </c>
      <c r="T1535" s="278"/>
      <c r="U1535" s="278"/>
      <c r="V1535" s="278"/>
      <c r="W1535" s="278"/>
    </row>
    <row r="1536" spans="1:23" s="269" customFormat="1" ht="20.25">
      <c r="A1536" s="267"/>
      <c r="B1536" s="275" t="s">
        <v>2437</v>
      </c>
      <c r="C1536" s="275" t="s">
        <v>3831</v>
      </c>
      <c r="D1536" s="168" t="s">
        <v>7030</v>
      </c>
      <c r="E1536" s="168" t="s">
        <v>2307</v>
      </c>
      <c r="F1536" s="168" t="s">
        <v>4623</v>
      </c>
      <c r="G1536" s="168" t="s">
        <v>4623</v>
      </c>
      <c r="H1536" s="292" t="s">
        <v>6733</v>
      </c>
      <c r="I1536" s="293" t="s">
        <v>6734</v>
      </c>
      <c r="J1536" s="293" t="s">
        <v>6735</v>
      </c>
      <c r="K1536" s="290" t="s">
        <v>4623</v>
      </c>
      <c r="L1536" s="290" t="s">
        <v>4804</v>
      </c>
      <c r="M1536" s="290" t="s">
        <v>4623</v>
      </c>
      <c r="N1536" s="290" t="s">
        <v>4623</v>
      </c>
      <c r="O1536" s="290" t="s">
        <v>4623</v>
      </c>
      <c r="P1536" s="290" t="s">
        <v>999</v>
      </c>
      <c r="Q1536" s="291" t="s">
        <v>4623</v>
      </c>
      <c r="R1536" s="276"/>
      <c r="S1536" s="277">
        <f>IF(OR(C1536="",C1536=T$4),NA(),MATCH($B1536&amp;$C1536,'Smelter Reference List'!$J:$J,0))</f>
        <v>442</v>
      </c>
      <c r="T1536" s="278"/>
      <c r="U1536" s="278"/>
      <c r="V1536" s="278"/>
      <c r="W1536" s="278"/>
    </row>
    <row r="1537" spans="1:23" s="269" customFormat="1" ht="20.25">
      <c r="A1537" s="267"/>
      <c r="B1537" s="275" t="s">
        <v>2437</v>
      </c>
      <c r="C1537" s="275" t="s">
        <v>3831</v>
      </c>
      <c r="D1537" s="168" t="s">
        <v>7031</v>
      </c>
      <c r="E1537" s="168" t="s">
        <v>2307</v>
      </c>
      <c r="F1537" s="168" t="s">
        <v>4623</v>
      </c>
      <c r="G1537" s="168" t="s">
        <v>4623</v>
      </c>
      <c r="H1537" s="292" t="s">
        <v>4623</v>
      </c>
      <c r="I1537" s="293" t="s">
        <v>4623</v>
      </c>
      <c r="J1537" s="293" t="s">
        <v>4623</v>
      </c>
      <c r="K1537" s="290" t="s">
        <v>4623</v>
      </c>
      <c r="L1537" s="290" t="s">
        <v>4623</v>
      </c>
      <c r="M1537" s="290" t="s">
        <v>4623</v>
      </c>
      <c r="N1537" s="290" t="s">
        <v>4623</v>
      </c>
      <c r="O1537" s="290" t="s">
        <v>4623</v>
      </c>
      <c r="P1537" s="290" t="s">
        <v>999</v>
      </c>
      <c r="Q1537" s="291" t="s">
        <v>4623</v>
      </c>
      <c r="R1537" s="276"/>
      <c r="S1537" s="277">
        <f>IF(OR(C1537="",C1537=T$4),NA(),MATCH($B1537&amp;$C1537,'Smelter Reference List'!$J:$J,0))</f>
        <v>442</v>
      </c>
      <c r="T1537" s="278"/>
      <c r="U1537" s="278"/>
      <c r="V1537" s="278"/>
      <c r="W1537" s="278"/>
    </row>
    <row r="1538" spans="1:23" s="269" customFormat="1" ht="20.25">
      <c r="A1538" s="267"/>
      <c r="B1538" s="275" t="s">
        <v>2437</v>
      </c>
      <c r="C1538" s="275" t="s">
        <v>3831</v>
      </c>
      <c r="D1538" s="168" t="s">
        <v>7032</v>
      </c>
      <c r="E1538" s="168" t="s">
        <v>2307</v>
      </c>
      <c r="F1538" s="168" t="s">
        <v>4623</v>
      </c>
      <c r="G1538" s="168" t="s">
        <v>4623</v>
      </c>
      <c r="H1538" s="292" t="s">
        <v>4623</v>
      </c>
      <c r="I1538" s="293" t="s">
        <v>4623</v>
      </c>
      <c r="J1538" s="293" t="s">
        <v>4623</v>
      </c>
      <c r="K1538" s="290" t="s">
        <v>4623</v>
      </c>
      <c r="L1538" s="290" t="s">
        <v>4623</v>
      </c>
      <c r="M1538" s="290" t="s">
        <v>4623</v>
      </c>
      <c r="N1538" s="290" t="s">
        <v>4623</v>
      </c>
      <c r="O1538" s="290" t="s">
        <v>4623</v>
      </c>
      <c r="P1538" s="290" t="s">
        <v>999</v>
      </c>
      <c r="Q1538" s="291" t="s">
        <v>4623</v>
      </c>
      <c r="R1538" s="276"/>
      <c r="S1538" s="277">
        <f>IF(OR(C1538="",C1538=T$4),NA(),MATCH($B1538&amp;$C1538,'Smelter Reference List'!$J:$J,0))</f>
        <v>442</v>
      </c>
      <c r="T1538" s="278"/>
      <c r="U1538" s="278"/>
      <c r="V1538" s="278"/>
      <c r="W1538" s="278"/>
    </row>
    <row r="1539" spans="1:23" s="269" customFormat="1" ht="20.25">
      <c r="A1539" s="267"/>
      <c r="B1539" s="275" t="s">
        <v>2437</v>
      </c>
      <c r="C1539" s="275" t="s">
        <v>3831</v>
      </c>
      <c r="D1539" s="168" t="s">
        <v>7033</v>
      </c>
      <c r="E1539" s="168" t="s">
        <v>2307</v>
      </c>
      <c r="F1539" s="168" t="s">
        <v>4623</v>
      </c>
      <c r="G1539" s="168" t="s">
        <v>4623</v>
      </c>
      <c r="H1539" s="292" t="s">
        <v>7034</v>
      </c>
      <c r="I1539" s="293" t="s">
        <v>7035</v>
      </c>
      <c r="J1539" s="293" t="s">
        <v>4623</v>
      </c>
      <c r="K1539" s="290" t="s">
        <v>4623</v>
      </c>
      <c r="L1539" s="290" t="s">
        <v>7036</v>
      </c>
      <c r="M1539" s="290" t="s">
        <v>4623</v>
      </c>
      <c r="N1539" s="290" t="s">
        <v>4623</v>
      </c>
      <c r="O1539" s="290" t="s">
        <v>4623</v>
      </c>
      <c r="P1539" s="290" t="s">
        <v>999</v>
      </c>
      <c r="Q1539" s="291" t="s">
        <v>4623</v>
      </c>
      <c r="R1539" s="276"/>
      <c r="S1539" s="277">
        <f>IF(OR(C1539="",C1539=T$4),NA(),MATCH($B1539&amp;$C1539,'Smelter Reference List'!$J:$J,0))</f>
        <v>442</v>
      </c>
      <c r="T1539" s="278"/>
      <c r="U1539" s="278"/>
      <c r="V1539" s="278"/>
      <c r="W1539" s="278"/>
    </row>
    <row r="1540" spans="1:23" s="269" customFormat="1" ht="20.25">
      <c r="A1540" s="267"/>
      <c r="B1540" s="275" t="s">
        <v>2437</v>
      </c>
      <c r="C1540" s="275" t="s">
        <v>3831</v>
      </c>
      <c r="D1540" s="168" t="s">
        <v>7037</v>
      </c>
      <c r="E1540" s="168" t="s">
        <v>2307</v>
      </c>
      <c r="F1540" s="168" t="s">
        <v>4623</v>
      </c>
      <c r="G1540" s="168" t="s">
        <v>4623</v>
      </c>
      <c r="H1540" s="292" t="s">
        <v>4623</v>
      </c>
      <c r="I1540" s="293" t="s">
        <v>4623</v>
      </c>
      <c r="J1540" s="293" t="s">
        <v>4623</v>
      </c>
      <c r="K1540" s="290" t="s">
        <v>4623</v>
      </c>
      <c r="L1540" s="290" t="s">
        <v>4623</v>
      </c>
      <c r="M1540" s="290" t="s">
        <v>4623</v>
      </c>
      <c r="N1540" s="290" t="s">
        <v>4623</v>
      </c>
      <c r="O1540" s="290" t="s">
        <v>4623</v>
      </c>
      <c r="P1540" s="290" t="s">
        <v>999</v>
      </c>
      <c r="Q1540" s="291" t="s">
        <v>4623</v>
      </c>
      <c r="R1540" s="276"/>
      <c r="S1540" s="277">
        <f>IF(OR(C1540="",C1540=T$4),NA(),MATCH($B1540&amp;$C1540,'Smelter Reference List'!$J:$J,0))</f>
        <v>442</v>
      </c>
      <c r="T1540" s="278"/>
      <c r="U1540" s="278"/>
      <c r="V1540" s="278"/>
      <c r="W1540" s="278"/>
    </row>
    <row r="1541" spans="1:23" s="269" customFormat="1" ht="20.25">
      <c r="A1541" s="267"/>
      <c r="B1541" s="275" t="s">
        <v>2437</v>
      </c>
      <c r="C1541" s="275" t="s">
        <v>3831</v>
      </c>
      <c r="D1541" s="168" t="s">
        <v>7038</v>
      </c>
      <c r="E1541" s="168" t="s">
        <v>2315</v>
      </c>
      <c r="F1541" s="168" t="s">
        <v>4623</v>
      </c>
      <c r="G1541" s="168" t="s">
        <v>4623</v>
      </c>
      <c r="H1541" s="292" t="s">
        <v>4623</v>
      </c>
      <c r="I1541" s="293" t="s">
        <v>4623</v>
      </c>
      <c r="J1541" s="293" t="s">
        <v>4623</v>
      </c>
      <c r="K1541" s="290" t="s">
        <v>4623</v>
      </c>
      <c r="L1541" s="290" t="s">
        <v>4623</v>
      </c>
      <c r="M1541" s="290" t="s">
        <v>4623</v>
      </c>
      <c r="N1541" s="290" t="s">
        <v>4623</v>
      </c>
      <c r="O1541" s="290" t="s">
        <v>4623</v>
      </c>
      <c r="P1541" s="290" t="s">
        <v>999</v>
      </c>
      <c r="Q1541" s="291" t="s">
        <v>4623</v>
      </c>
      <c r="R1541" s="276"/>
      <c r="S1541" s="277">
        <f>IF(OR(C1541="",C1541=T$4),NA(),MATCH($B1541&amp;$C1541,'Smelter Reference List'!$J:$J,0))</f>
        <v>442</v>
      </c>
      <c r="T1541" s="278"/>
      <c r="U1541" s="278"/>
      <c r="V1541" s="278"/>
      <c r="W1541" s="278"/>
    </row>
    <row r="1542" spans="1:23" s="269" customFormat="1" ht="20.25">
      <c r="A1542" s="267"/>
      <c r="B1542" s="275" t="s">
        <v>2437</v>
      </c>
      <c r="C1542" s="275" t="s">
        <v>3831</v>
      </c>
      <c r="D1542" s="168" t="s">
        <v>7039</v>
      </c>
      <c r="E1542" s="168" t="s">
        <v>2324</v>
      </c>
      <c r="F1542" s="168" t="s">
        <v>4623</v>
      </c>
      <c r="G1542" s="168" t="s">
        <v>4623</v>
      </c>
      <c r="H1542" s="292" t="s">
        <v>4623</v>
      </c>
      <c r="I1542" s="293" t="s">
        <v>4623</v>
      </c>
      <c r="J1542" s="293" t="s">
        <v>4623</v>
      </c>
      <c r="K1542" s="290" t="s">
        <v>4623</v>
      </c>
      <c r="L1542" s="290" t="s">
        <v>4623</v>
      </c>
      <c r="M1542" s="290" t="s">
        <v>4623</v>
      </c>
      <c r="N1542" s="290" t="s">
        <v>4623</v>
      </c>
      <c r="O1542" s="290" t="s">
        <v>4623</v>
      </c>
      <c r="P1542" s="290" t="s">
        <v>999</v>
      </c>
      <c r="Q1542" s="291" t="s">
        <v>4623</v>
      </c>
      <c r="R1542" s="276"/>
      <c r="S1542" s="277">
        <f>IF(OR(C1542="",C1542=T$4),NA(),MATCH($B1542&amp;$C1542,'Smelter Reference List'!$J:$J,0))</f>
        <v>442</v>
      </c>
      <c r="T1542" s="278"/>
      <c r="U1542" s="278"/>
      <c r="V1542" s="278"/>
      <c r="W1542" s="278"/>
    </row>
    <row r="1543" spans="1:23" s="269" customFormat="1" ht="20.25">
      <c r="A1543" s="267"/>
      <c r="B1543" s="275" t="s">
        <v>2437</v>
      </c>
      <c r="C1543" s="275" t="s">
        <v>3831</v>
      </c>
      <c r="D1543" s="168" t="s">
        <v>7040</v>
      </c>
      <c r="E1543" s="168" t="s">
        <v>2324</v>
      </c>
      <c r="F1543" s="168" t="s">
        <v>4623</v>
      </c>
      <c r="G1543" s="168" t="s">
        <v>4623</v>
      </c>
      <c r="H1543" s="292" t="s">
        <v>4623</v>
      </c>
      <c r="I1543" s="293" t="s">
        <v>4623</v>
      </c>
      <c r="J1543" s="293" t="s">
        <v>4623</v>
      </c>
      <c r="K1543" s="290" t="s">
        <v>4623</v>
      </c>
      <c r="L1543" s="290" t="s">
        <v>4623</v>
      </c>
      <c r="M1543" s="290" t="s">
        <v>4623</v>
      </c>
      <c r="N1543" s="290" t="s">
        <v>4623</v>
      </c>
      <c r="O1543" s="290" t="s">
        <v>4623</v>
      </c>
      <c r="P1543" s="290" t="s">
        <v>999</v>
      </c>
      <c r="Q1543" s="291" t="s">
        <v>4623</v>
      </c>
      <c r="R1543" s="276"/>
      <c r="S1543" s="277">
        <f>IF(OR(C1543="",C1543=T$4),NA(),MATCH($B1543&amp;$C1543,'Smelter Reference List'!$J:$J,0))</f>
        <v>442</v>
      </c>
      <c r="T1543" s="278"/>
      <c r="U1543" s="278"/>
      <c r="V1543" s="278"/>
      <c r="W1543" s="278"/>
    </row>
    <row r="1544" spans="1:23" s="269" customFormat="1" ht="20.25">
      <c r="A1544" s="267"/>
      <c r="B1544" s="275" t="s">
        <v>2437</v>
      </c>
      <c r="C1544" s="275" t="s">
        <v>3831</v>
      </c>
      <c r="D1544" s="168" t="s">
        <v>7041</v>
      </c>
      <c r="E1544" s="168" t="s">
        <v>2324</v>
      </c>
      <c r="F1544" s="168" t="s">
        <v>4623</v>
      </c>
      <c r="G1544" s="168" t="s">
        <v>4623</v>
      </c>
      <c r="H1544" s="292" t="s">
        <v>4623</v>
      </c>
      <c r="I1544" s="293" t="s">
        <v>4623</v>
      </c>
      <c r="J1544" s="293" t="s">
        <v>4623</v>
      </c>
      <c r="K1544" s="290" t="s">
        <v>4623</v>
      </c>
      <c r="L1544" s="290" t="s">
        <v>4623</v>
      </c>
      <c r="M1544" s="290" t="s">
        <v>4623</v>
      </c>
      <c r="N1544" s="290" t="s">
        <v>4623</v>
      </c>
      <c r="O1544" s="290" t="s">
        <v>4623</v>
      </c>
      <c r="P1544" s="290" t="s">
        <v>999</v>
      </c>
      <c r="Q1544" s="291" t="s">
        <v>4623</v>
      </c>
      <c r="R1544" s="276"/>
      <c r="S1544" s="277">
        <f>IF(OR(C1544="",C1544=T$4),NA(),MATCH($B1544&amp;$C1544,'Smelter Reference List'!$J:$J,0))</f>
        <v>442</v>
      </c>
      <c r="T1544" s="278"/>
      <c r="U1544" s="278"/>
      <c r="V1544" s="278"/>
      <c r="W1544" s="278"/>
    </row>
    <row r="1545" spans="1:23" s="269" customFormat="1" ht="20.25">
      <c r="A1545" s="267"/>
      <c r="B1545" s="275" t="s">
        <v>2437</v>
      </c>
      <c r="C1545" s="275" t="s">
        <v>3831</v>
      </c>
      <c r="D1545" s="168" t="s">
        <v>7042</v>
      </c>
      <c r="E1545" s="168" t="s">
        <v>2324</v>
      </c>
      <c r="F1545" s="168" t="s">
        <v>4623</v>
      </c>
      <c r="G1545" s="168" t="s">
        <v>4623</v>
      </c>
      <c r="H1545" s="292" t="s">
        <v>7043</v>
      </c>
      <c r="I1545" s="293" t="s">
        <v>7044</v>
      </c>
      <c r="J1545" s="293" t="s">
        <v>4623</v>
      </c>
      <c r="K1545" s="290" t="s">
        <v>4623</v>
      </c>
      <c r="L1545" s="290" t="s">
        <v>4623</v>
      </c>
      <c r="M1545" s="290" t="s">
        <v>4623</v>
      </c>
      <c r="N1545" s="290" t="s">
        <v>4623</v>
      </c>
      <c r="O1545" s="290" t="s">
        <v>4623</v>
      </c>
      <c r="P1545" s="290" t="s">
        <v>999</v>
      </c>
      <c r="Q1545" s="291" t="s">
        <v>4623</v>
      </c>
      <c r="R1545" s="276"/>
      <c r="S1545" s="277">
        <f>IF(OR(C1545="",C1545=T$4),NA(),MATCH($B1545&amp;$C1545,'Smelter Reference List'!$J:$J,0))</f>
        <v>442</v>
      </c>
      <c r="T1545" s="278"/>
      <c r="U1545" s="278"/>
      <c r="V1545" s="278"/>
      <c r="W1545" s="278"/>
    </row>
    <row r="1546" spans="1:23" s="269" customFormat="1" ht="20.25">
      <c r="A1546" s="267"/>
      <c r="B1546" s="275" t="s">
        <v>2437</v>
      </c>
      <c r="C1546" s="275" t="s">
        <v>3831</v>
      </c>
      <c r="D1546" s="168" t="s">
        <v>7045</v>
      </c>
      <c r="E1546" s="168" t="s">
        <v>2324</v>
      </c>
      <c r="F1546" s="168" t="s">
        <v>4623</v>
      </c>
      <c r="G1546" s="168" t="s">
        <v>4623</v>
      </c>
      <c r="H1546" s="292" t="s">
        <v>4623</v>
      </c>
      <c r="I1546" s="293" t="s">
        <v>4623</v>
      </c>
      <c r="J1546" s="293" t="s">
        <v>4623</v>
      </c>
      <c r="K1546" s="290" t="s">
        <v>4623</v>
      </c>
      <c r="L1546" s="290" t="s">
        <v>4623</v>
      </c>
      <c r="M1546" s="290" t="s">
        <v>4623</v>
      </c>
      <c r="N1546" s="290" t="s">
        <v>4623</v>
      </c>
      <c r="O1546" s="290" t="s">
        <v>4623</v>
      </c>
      <c r="P1546" s="290" t="s">
        <v>999</v>
      </c>
      <c r="Q1546" s="291" t="s">
        <v>4623</v>
      </c>
      <c r="R1546" s="276"/>
      <c r="S1546" s="277">
        <f>IF(OR(C1546="",C1546=T$4),NA(),MATCH($B1546&amp;$C1546,'Smelter Reference List'!$J:$J,0))</f>
        <v>442</v>
      </c>
      <c r="T1546" s="278"/>
      <c r="U1546" s="278"/>
      <c r="V1546" s="278"/>
      <c r="W1546" s="278"/>
    </row>
    <row r="1547" spans="1:23" s="269" customFormat="1" ht="20.25">
      <c r="A1547" s="267"/>
      <c r="B1547" s="275" t="s">
        <v>2437</v>
      </c>
      <c r="C1547" s="275" t="s">
        <v>3831</v>
      </c>
      <c r="D1547" s="168" t="s">
        <v>7046</v>
      </c>
      <c r="E1547" s="168" t="s">
        <v>2324</v>
      </c>
      <c r="F1547" s="168" t="s">
        <v>4623</v>
      </c>
      <c r="G1547" s="168" t="s">
        <v>4623</v>
      </c>
      <c r="H1547" s="292" t="s">
        <v>4623</v>
      </c>
      <c r="I1547" s="293" t="s">
        <v>4623</v>
      </c>
      <c r="J1547" s="293" t="s">
        <v>4623</v>
      </c>
      <c r="K1547" s="290" t="s">
        <v>4623</v>
      </c>
      <c r="L1547" s="290" t="s">
        <v>4623</v>
      </c>
      <c r="M1547" s="290" t="s">
        <v>4623</v>
      </c>
      <c r="N1547" s="290" t="s">
        <v>4623</v>
      </c>
      <c r="O1547" s="290" t="s">
        <v>4623</v>
      </c>
      <c r="P1547" s="290" t="s">
        <v>999</v>
      </c>
      <c r="Q1547" s="291" t="s">
        <v>4623</v>
      </c>
      <c r="R1547" s="276"/>
      <c r="S1547" s="277">
        <f>IF(OR(C1547="",C1547=T$4),NA(),MATCH($B1547&amp;$C1547,'Smelter Reference List'!$J:$J,0))</f>
        <v>442</v>
      </c>
      <c r="T1547" s="278"/>
      <c r="U1547" s="278"/>
      <c r="V1547" s="278"/>
      <c r="W1547" s="278"/>
    </row>
    <row r="1548" spans="1:23" s="269" customFormat="1" ht="20.25">
      <c r="A1548" s="267"/>
      <c r="B1548" s="275" t="s">
        <v>2437</v>
      </c>
      <c r="C1548" s="275" t="s">
        <v>3831</v>
      </c>
      <c r="D1548" s="168" t="s">
        <v>7047</v>
      </c>
      <c r="E1548" s="168" t="s">
        <v>2324</v>
      </c>
      <c r="F1548" s="168" t="s">
        <v>4623</v>
      </c>
      <c r="G1548" s="168" t="s">
        <v>4623</v>
      </c>
      <c r="H1548" s="292" t="s">
        <v>4623</v>
      </c>
      <c r="I1548" s="293" t="s">
        <v>4623</v>
      </c>
      <c r="J1548" s="293" t="s">
        <v>4623</v>
      </c>
      <c r="K1548" s="290" t="s">
        <v>4623</v>
      </c>
      <c r="L1548" s="290" t="s">
        <v>4623</v>
      </c>
      <c r="M1548" s="290" t="s">
        <v>4623</v>
      </c>
      <c r="N1548" s="290" t="s">
        <v>4623</v>
      </c>
      <c r="O1548" s="290" t="s">
        <v>4623</v>
      </c>
      <c r="P1548" s="290" t="s">
        <v>999</v>
      </c>
      <c r="Q1548" s="291" t="s">
        <v>4623</v>
      </c>
      <c r="R1548" s="276"/>
      <c r="S1548" s="277">
        <f>IF(OR(C1548="",C1548=T$4),NA(),MATCH($B1548&amp;$C1548,'Smelter Reference List'!$J:$J,0))</f>
        <v>442</v>
      </c>
      <c r="T1548" s="278"/>
      <c r="U1548" s="278"/>
      <c r="V1548" s="278"/>
      <c r="W1548" s="278"/>
    </row>
    <row r="1549" spans="1:23" s="269" customFormat="1" ht="20.25">
      <c r="A1549" s="267"/>
      <c r="B1549" s="275" t="s">
        <v>2437</v>
      </c>
      <c r="C1549" s="275" t="s">
        <v>3831</v>
      </c>
      <c r="D1549" s="168" t="s">
        <v>7048</v>
      </c>
      <c r="E1549" s="168" t="s">
        <v>2324</v>
      </c>
      <c r="F1549" s="168" t="s">
        <v>4623</v>
      </c>
      <c r="G1549" s="168" t="s">
        <v>4623</v>
      </c>
      <c r="H1549" s="292" t="s">
        <v>4623</v>
      </c>
      <c r="I1549" s="293" t="s">
        <v>4623</v>
      </c>
      <c r="J1549" s="293" t="s">
        <v>4623</v>
      </c>
      <c r="K1549" s="290" t="s">
        <v>4623</v>
      </c>
      <c r="L1549" s="290" t="s">
        <v>4623</v>
      </c>
      <c r="M1549" s="290" t="s">
        <v>4623</v>
      </c>
      <c r="N1549" s="290" t="s">
        <v>4623</v>
      </c>
      <c r="O1549" s="290" t="s">
        <v>4623</v>
      </c>
      <c r="P1549" s="290" t="s">
        <v>999</v>
      </c>
      <c r="Q1549" s="291" t="s">
        <v>4623</v>
      </c>
      <c r="R1549" s="276"/>
      <c r="S1549" s="277">
        <f>IF(OR(C1549="",C1549=T$4),NA(),MATCH($B1549&amp;$C1549,'Smelter Reference List'!$J:$J,0))</f>
        <v>442</v>
      </c>
      <c r="T1549" s="278"/>
      <c r="U1549" s="278"/>
      <c r="V1549" s="278"/>
      <c r="W1549" s="278"/>
    </row>
    <row r="1550" spans="1:23" s="269" customFormat="1" ht="20.25">
      <c r="A1550" s="267"/>
      <c r="B1550" s="275" t="s">
        <v>2437</v>
      </c>
      <c r="C1550" s="275" t="s">
        <v>3831</v>
      </c>
      <c r="D1550" s="168" t="s">
        <v>7049</v>
      </c>
      <c r="E1550" s="168" t="s">
        <v>2324</v>
      </c>
      <c r="F1550" s="168" t="s">
        <v>4623</v>
      </c>
      <c r="G1550" s="168" t="s">
        <v>4623</v>
      </c>
      <c r="H1550" s="292" t="s">
        <v>4623</v>
      </c>
      <c r="I1550" s="293" t="s">
        <v>4623</v>
      </c>
      <c r="J1550" s="293" t="s">
        <v>4623</v>
      </c>
      <c r="K1550" s="290" t="s">
        <v>4623</v>
      </c>
      <c r="L1550" s="290" t="s">
        <v>4623</v>
      </c>
      <c r="M1550" s="290" t="s">
        <v>4623</v>
      </c>
      <c r="N1550" s="290" t="s">
        <v>4623</v>
      </c>
      <c r="O1550" s="290" t="s">
        <v>4623</v>
      </c>
      <c r="P1550" s="290" t="s">
        <v>999</v>
      </c>
      <c r="Q1550" s="291" t="s">
        <v>4623</v>
      </c>
      <c r="R1550" s="276"/>
      <c r="S1550" s="277">
        <f>IF(OR(C1550="",C1550=T$4),NA(),MATCH($B1550&amp;$C1550,'Smelter Reference List'!$J:$J,0))</f>
        <v>442</v>
      </c>
      <c r="T1550" s="278"/>
      <c r="U1550" s="278"/>
      <c r="V1550" s="278"/>
      <c r="W1550" s="278"/>
    </row>
    <row r="1551" spans="1:23" s="269" customFormat="1" ht="20.25">
      <c r="A1551" s="267"/>
      <c r="B1551" s="275" t="s">
        <v>2437</v>
      </c>
      <c r="C1551" s="275" t="s">
        <v>3831</v>
      </c>
      <c r="D1551" s="168" t="s">
        <v>7050</v>
      </c>
      <c r="E1551" s="168" t="s">
        <v>2324</v>
      </c>
      <c r="F1551" s="168" t="s">
        <v>4623</v>
      </c>
      <c r="G1551" s="168" t="s">
        <v>4623</v>
      </c>
      <c r="H1551" s="292" t="s">
        <v>4623</v>
      </c>
      <c r="I1551" s="293" t="s">
        <v>4623</v>
      </c>
      <c r="J1551" s="293" t="s">
        <v>4623</v>
      </c>
      <c r="K1551" s="290" t="s">
        <v>4623</v>
      </c>
      <c r="L1551" s="290" t="s">
        <v>4623</v>
      </c>
      <c r="M1551" s="290" t="s">
        <v>4623</v>
      </c>
      <c r="N1551" s="290" t="s">
        <v>4623</v>
      </c>
      <c r="O1551" s="290" t="s">
        <v>4623</v>
      </c>
      <c r="P1551" s="290" t="s">
        <v>999</v>
      </c>
      <c r="Q1551" s="291" t="s">
        <v>4623</v>
      </c>
      <c r="R1551" s="276"/>
      <c r="S1551" s="277">
        <f>IF(OR(C1551="",C1551=T$4),NA(),MATCH($B1551&amp;$C1551,'Smelter Reference List'!$J:$J,0))</f>
        <v>442</v>
      </c>
      <c r="T1551" s="278"/>
      <c r="U1551" s="278"/>
      <c r="V1551" s="278"/>
      <c r="W1551" s="278"/>
    </row>
    <row r="1552" spans="1:23" s="269" customFormat="1" ht="20.25">
      <c r="A1552" s="267"/>
      <c r="B1552" s="275" t="s">
        <v>2437</v>
      </c>
      <c r="C1552" s="275" t="s">
        <v>3831</v>
      </c>
      <c r="D1552" s="168" t="s">
        <v>7051</v>
      </c>
      <c r="E1552" s="168" t="s">
        <v>2324</v>
      </c>
      <c r="F1552" s="168" t="s">
        <v>4623</v>
      </c>
      <c r="G1552" s="168" t="s">
        <v>4623</v>
      </c>
      <c r="H1552" s="292" t="s">
        <v>4623</v>
      </c>
      <c r="I1552" s="293" t="s">
        <v>4623</v>
      </c>
      <c r="J1552" s="293" t="s">
        <v>4623</v>
      </c>
      <c r="K1552" s="290" t="s">
        <v>4623</v>
      </c>
      <c r="L1552" s="290" t="s">
        <v>4623</v>
      </c>
      <c r="M1552" s="290" t="s">
        <v>4623</v>
      </c>
      <c r="N1552" s="290" t="s">
        <v>4623</v>
      </c>
      <c r="O1552" s="290" t="s">
        <v>4623</v>
      </c>
      <c r="P1552" s="290" t="s">
        <v>999</v>
      </c>
      <c r="Q1552" s="291" t="s">
        <v>4623</v>
      </c>
      <c r="R1552" s="276"/>
      <c r="S1552" s="277">
        <f>IF(OR(C1552="",C1552=T$4),NA(),MATCH($B1552&amp;$C1552,'Smelter Reference List'!$J:$J,0))</f>
        <v>442</v>
      </c>
      <c r="T1552" s="278"/>
      <c r="U1552" s="278"/>
      <c r="V1552" s="278"/>
      <c r="W1552" s="278"/>
    </row>
    <row r="1553" spans="1:23" s="269" customFormat="1" ht="20.25">
      <c r="A1553" s="267"/>
      <c r="B1553" s="275" t="s">
        <v>2437</v>
      </c>
      <c r="C1553" s="275" t="s">
        <v>3831</v>
      </c>
      <c r="D1553" s="168" t="s">
        <v>7052</v>
      </c>
      <c r="E1553" s="168" t="s">
        <v>2324</v>
      </c>
      <c r="F1553" s="168" t="s">
        <v>4623</v>
      </c>
      <c r="G1553" s="168" t="s">
        <v>4623</v>
      </c>
      <c r="H1553" s="292" t="s">
        <v>4623</v>
      </c>
      <c r="I1553" s="293" t="s">
        <v>4623</v>
      </c>
      <c r="J1553" s="293" t="s">
        <v>4623</v>
      </c>
      <c r="K1553" s="290" t="s">
        <v>4623</v>
      </c>
      <c r="L1553" s="290" t="s">
        <v>4623</v>
      </c>
      <c r="M1553" s="290" t="s">
        <v>4623</v>
      </c>
      <c r="N1553" s="290" t="s">
        <v>4623</v>
      </c>
      <c r="O1553" s="290" t="s">
        <v>4623</v>
      </c>
      <c r="P1553" s="290" t="s">
        <v>999</v>
      </c>
      <c r="Q1553" s="291" t="s">
        <v>4623</v>
      </c>
      <c r="R1553" s="276"/>
      <c r="S1553" s="277">
        <f>IF(OR(C1553="",C1553=T$4),NA(),MATCH($B1553&amp;$C1553,'Smelter Reference List'!$J:$J,0))</f>
        <v>442</v>
      </c>
      <c r="T1553" s="278"/>
      <c r="U1553" s="278"/>
      <c r="V1553" s="278"/>
      <c r="W1553" s="278"/>
    </row>
    <row r="1554" spans="1:23" s="269" customFormat="1" ht="20.25">
      <c r="A1554" s="267"/>
      <c r="B1554" s="275" t="s">
        <v>2437</v>
      </c>
      <c r="C1554" s="275" t="s">
        <v>3831</v>
      </c>
      <c r="D1554" s="168" t="s">
        <v>7053</v>
      </c>
      <c r="E1554" s="168" t="s">
        <v>2324</v>
      </c>
      <c r="F1554" s="168" t="s">
        <v>4623</v>
      </c>
      <c r="G1554" s="168" t="s">
        <v>4623</v>
      </c>
      <c r="H1554" s="292" t="s">
        <v>4623</v>
      </c>
      <c r="I1554" s="293" t="s">
        <v>4623</v>
      </c>
      <c r="J1554" s="293" t="s">
        <v>4623</v>
      </c>
      <c r="K1554" s="290" t="s">
        <v>4623</v>
      </c>
      <c r="L1554" s="290" t="s">
        <v>4623</v>
      </c>
      <c r="M1554" s="290" t="s">
        <v>4623</v>
      </c>
      <c r="N1554" s="290" t="s">
        <v>4623</v>
      </c>
      <c r="O1554" s="290" t="s">
        <v>4623</v>
      </c>
      <c r="P1554" s="290" t="s">
        <v>999</v>
      </c>
      <c r="Q1554" s="291" t="s">
        <v>4623</v>
      </c>
      <c r="R1554" s="276"/>
      <c r="S1554" s="277">
        <f>IF(OR(C1554="",C1554=T$4),NA(),MATCH($B1554&amp;$C1554,'Smelter Reference List'!$J:$J,0))</f>
        <v>442</v>
      </c>
      <c r="T1554" s="278"/>
      <c r="U1554" s="278"/>
      <c r="V1554" s="278"/>
      <c r="W1554" s="278"/>
    </row>
    <row r="1555" spans="1:23" s="269" customFormat="1" ht="20.25">
      <c r="A1555" s="267"/>
      <c r="B1555" s="275" t="s">
        <v>2437</v>
      </c>
      <c r="C1555" s="275" t="s">
        <v>3831</v>
      </c>
      <c r="D1555" s="168" t="s">
        <v>7054</v>
      </c>
      <c r="E1555" s="168" t="s">
        <v>2324</v>
      </c>
      <c r="F1555" s="168" t="s">
        <v>4623</v>
      </c>
      <c r="G1555" s="168" t="s">
        <v>4623</v>
      </c>
      <c r="H1555" s="292" t="s">
        <v>4623</v>
      </c>
      <c r="I1555" s="293" t="s">
        <v>4623</v>
      </c>
      <c r="J1555" s="293" t="s">
        <v>4623</v>
      </c>
      <c r="K1555" s="290" t="s">
        <v>4623</v>
      </c>
      <c r="L1555" s="290" t="s">
        <v>4623</v>
      </c>
      <c r="M1555" s="290" t="s">
        <v>4623</v>
      </c>
      <c r="N1555" s="290" t="s">
        <v>4623</v>
      </c>
      <c r="O1555" s="290" t="s">
        <v>4623</v>
      </c>
      <c r="P1555" s="290" t="s">
        <v>999</v>
      </c>
      <c r="Q1555" s="291" t="s">
        <v>4623</v>
      </c>
      <c r="R1555" s="276"/>
      <c r="S1555" s="277">
        <f>IF(OR(C1555="",C1555=T$4),NA(),MATCH($B1555&amp;$C1555,'Smelter Reference List'!$J:$J,0))</f>
        <v>442</v>
      </c>
      <c r="T1555" s="278"/>
      <c r="U1555" s="278"/>
      <c r="V1555" s="278"/>
      <c r="W1555" s="278"/>
    </row>
    <row r="1556" spans="1:23" s="269" customFormat="1" ht="20.25">
      <c r="A1556" s="267"/>
      <c r="B1556" s="275" t="s">
        <v>2437</v>
      </c>
      <c r="C1556" s="275" t="s">
        <v>3831</v>
      </c>
      <c r="D1556" s="168" t="s">
        <v>7055</v>
      </c>
      <c r="E1556" s="168" t="s">
        <v>2324</v>
      </c>
      <c r="F1556" s="168" t="s">
        <v>4623</v>
      </c>
      <c r="G1556" s="168" t="s">
        <v>4623</v>
      </c>
      <c r="H1556" s="292" t="s">
        <v>4623</v>
      </c>
      <c r="I1556" s="293" t="s">
        <v>4623</v>
      </c>
      <c r="J1556" s="293" t="s">
        <v>4623</v>
      </c>
      <c r="K1556" s="290" t="s">
        <v>4623</v>
      </c>
      <c r="L1556" s="290" t="s">
        <v>4623</v>
      </c>
      <c r="M1556" s="290" t="s">
        <v>4623</v>
      </c>
      <c r="N1556" s="290" t="s">
        <v>4623</v>
      </c>
      <c r="O1556" s="290" t="s">
        <v>4623</v>
      </c>
      <c r="P1556" s="290" t="s">
        <v>999</v>
      </c>
      <c r="Q1556" s="291" t="s">
        <v>4623</v>
      </c>
      <c r="R1556" s="276"/>
      <c r="S1556" s="277">
        <f>IF(OR(C1556="",C1556=T$4),NA(),MATCH($B1556&amp;$C1556,'Smelter Reference List'!$J:$J,0))</f>
        <v>442</v>
      </c>
      <c r="T1556" s="278"/>
      <c r="U1556" s="278"/>
      <c r="V1556" s="278"/>
      <c r="W1556" s="278"/>
    </row>
    <row r="1557" spans="1:23" s="269" customFormat="1" ht="20.25">
      <c r="A1557" s="267"/>
      <c r="B1557" s="275" t="s">
        <v>2437</v>
      </c>
      <c r="C1557" s="275" t="s">
        <v>3831</v>
      </c>
      <c r="D1557" s="168" t="s">
        <v>7056</v>
      </c>
      <c r="E1557" s="168" t="s">
        <v>2324</v>
      </c>
      <c r="F1557" s="168" t="s">
        <v>4623</v>
      </c>
      <c r="G1557" s="168" t="s">
        <v>4623</v>
      </c>
      <c r="H1557" s="292" t="s">
        <v>7057</v>
      </c>
      <c r="I1557" s="293" t="s">
        <v>7058</v>
      </c>
      <c r="J1557" s="293" t="s">
        <v>4623</v>
      </c>
      <c r="K1557" s="290" t="s">
        <v>4623</v>
      </c>
      <c r="L1557" s="290" t="s">
        <v>4623</v>
      </c>
      <c r="M1557" s="290" t="s">
        <v>4623</v>
      </c>
      <c r="N1557" s="290" t="s">
        <v>7059</v>
      </c>
      <c r="O1557" s="290" t="s">
        <v>4623</v>
      </c>
      <c r="P1557" s="290" t="s">
        <v>999</v>
      </c>
      <c r="Q1557" s="291" t="s">
        <v>4623</v>
      </c>
      <c r="R1557" s="276"/>
      <c r="S1557" s="277">
        <f>IF(OR(C1557="",C1557=T$4),NA(),MATCH($B1557&amp;$C1557,'Smelter Reference List'!$J:$J,0))</f>
        <v>442</v>
      </c>
      <c r="T1557" s="278"/>
      <c r="U1557" s="278"/>
      <c r="V1557" s="278"/>
      <c r="W1557" s="278"/>
    </row>
    <row r="1558" spans="1:23" s="269" customFormat="1" ht="20.25">
      <c r="A1558" s="267"/>
      <c r="B1558" s="275" t="s">
        <v>2437</v>
      </c>
      <c r="C1558" s="275" t="s">
        <v>3831</v>
      </c>
      <c r="D1558" s="168" t="s">
        <v>7060</v>
      </c>
      <c r="E1558" s="168" t="s">
        <v>2308</v>
      </c>
      <c r="F1558" s="168" t="s">
        <v>4623</v>
      </c>
      <c r="G1558" s="168" t="s">
        <v>4623</v>
      </c>
      <c r="H1558" s="292" t="s">
        <v>7061</v>
      </c>
      <c r="I1558" s="293" t="s">
        <v>4623</v>
      </c>
      <c r="J1558" s="293" t="s">
        <v>4623</v>
      </c>
      <c r="K1558" s="290" t="s">
        <v>4623</v>
      </c>
      <c r="L1558" s="290" t="s">
        <v>4623</v>
      </c>
      <c r="M1558" s="290" t="s">
        <v>4623</v>
      </c>
      <c r="N1558" s="290" t="s">
        <v>4623</v>
      </c>
      <c r="O1558" s="290" t="s">
        <v>4623</v>
      </c>
      <c r="P1558" s="290" t="s">
        <v>999</v>
      </c>
      <c r="Q1558" s="291" t="s">
        <v>4623</v>
      </c>
      <c r="R1558" s="276"/>
      <c r="S1558" s="277">
        <f>IF(OR(C1558="",C1558=T$4),NA(),MATCH($B1558&amp;$C1558,'Smelter Reference List'!$J:$J,0))</f>
        <v>442</v>
      </c>
      <c r="T1558" s="278"/>
      <c r="U1558" s="278"/>
      <c r="V1558" s="278"/>
      <c r="W1558" s="278"/>
    </row>
    <row r="1559" spans="1:23" s="269" customFormat="1" ht="20.25">
      <c r="A1559" s="267"/>
      <c r="B1559" s="275" t="s">
        <v>2437</v>
      </c>
      <c r="C1559" s="275" t="s">
        <v>3831</v>
      </c>
      <c r="D1559" s="168" t="s">
        <v>7062</v>
      </c>
      <c r="E1559" s="168" t="s">
        <v>2308</v>
      </c>
      <c r="F1559" s="168" t="s">
        <v>4623</v>
      </c>
      <c r="G1559" s="168" t="s">
        <v>4623</v>
      </c>
      <c r="H1559" s="292" t="s">
        <v>4623</v>
      </c>
      <c r="I1559" s="293" t="s">
        <v>4623</v>
      </c>
      <c r="J1559" s="293" t="s">
        <v>4623</v>
      </c>
      <c r="K1559" s="290" t="s">
        <v>4623</v>
      </c>
      <c r="L1559" s="290" t="s">
        <v>4623</v>
      </c>
      <c r="M1559" s="290" t="s">
        <v>4623</v>
      </c>
      <c r="N1559" s="290" t="s">
        <v>4896</v>
      </c>
      <c r="O1559" s="290" t="s">
        <v>4623</v>
      </c>
      <c r="P1559" s="290" t="s">
        <v>999</v>
      </c>
      <c r="Q1559" s="291" t="s">
        <v>4623</v>
      </c>
      <c r="R1559" s="276"/>
      <c r="S1559" s="277">
        <f>IF(OR(C1559="",C1559=T$4),NA(),MATCH($B1559&amp;$C1559,'Smelter Reference List'!$J:$J,0))</f>
        <v>442</v>
      </c>
      <c r="T1559" s="278"/>
      <c r="U1559" s="278"/>
      <c r="V1559" s="278"/>
      <c r="W1559" s="278"/>
    </row>
    <row r="1560" spans="1:23" s="269" customFormat="1" ht="20.25">
      <c r="A1560" s="267"/>
      <c r="B1560" s="275" t="s">
        <v>2437</v>
      </c>
      <c r="C1560" s="275" t="s">
        <v>3831</v>
      </c>
      <c r="D1560" s="168" t="s">
        <v>7063</v>
      </c>
      <c r="E1560" s="168" t="s">
        <v>2308</v>
      </c>
      <c r="F1560" s="168" t="s">
        <v>4623</v>
      </c>
      <c r="G1560" s="168" t="s">
        <v>4623</v>
      </c>
      <c r="H1560" s="292" t="s">
        <v>4623</v>
      </c>
      <c r="I1560" s="293" t="s">
        <v>4657</v>
      </c>
      <c r="J1560" s="293" t="s">
        <v>4657</v>
      </c>
      <c r="K1560" s="290" t="s">
        <v>4623</v>
      </c>
      <c r="L1560" s="290" t="s">
        <v>4623</v>
      </c>
      <c r="M1560" s="290" t="s">
        <v>4623</v>
      </c>
      <c r="N1560" s="290" t="s">
        <v>4623</v>
      </c>
      <c r="O1560" s="290" t="s">
        <v>4623</v>
      </c>
      <c r="P1560" s="290" t="s">
        <v>999</v>
      </c>
      <c r="Q1560" s="291" t="s">
        <v>4623</v>
      </c>
      <c r="R1560" s="276"/>
      <c r="S1560" s="277">
        <f>IF(OR(C1560="",C1560=T$4),NA(),MATCH($B1560&amp;$C1560,'Smelter Reference List'!$J:$J,0))</f>
        <v>442</v>
      </c>
      <c r="T1560" s="278"/>
      <c r="U1560" s="278"/>
      <c r="V1560" s="278"/>
      <c r="W1560" s="278"/>
    </row>
    <row r="1561" spans="1:23" s="269" customFormat="1" ht="20.25">
      <c r="A1561" s="267"/>
      <c r="B1561" s="275" t="s">
        <v>2437</v>
      </c>
      <c r="C1561" s="275" t="s">
        <v>3831</v>
      </c>
      <c r="D1561" s="168" t="s">
        <v>7064</v>
      </c>
      <c r="E1561" s="168" t="s">
        <v>2308</v>
      </c>
      <c r="F1561" s="168" t="s">
        <v>4623</v>
      </c>
      <c r="G1561" s="168" t="s">
        <v>4623</v>
      </c>
      <c r="H1561" s="292" t="s">
        <v>4623</v>
      </c>
      <c r="I1561" s="293" t="s">
        <v>4623</v>
      </c>
      <c r="J1561" s="293" t="s">
        <v>4623</v>
      </c>
      <c r="K1561" s="290" t="s">
        <v>4623</v>
      </c>
      <c r="L1561" s="290" t="s">
        <v>4623</v>
      </c>
      <c r="M1561" s="290" t="s">
        <v>4623</v>
      </c>
      <c r="N1561" s="290" t="s">
        <v>4623</v>
      </c>
      <c r="O1561" s="290" t="s">
        <v>4623</v>
      </c>
      <c r="P1561" s="290" t="s">
        <v>999</v>
      </c>
      <c r="Q1561" s="291" t="s">
        <v>4623</v>
      </c>
      <c r="R1561" s="276"/>
      <c r="S1561" s="277">
        <f>IF(OR(C1561="",C1561=T$4),NA(),MATCH($B1561&amp;$C1561,'Smelter Reference List'!$J:$J,0))</f>
        <v>442</v>
      </c>
      <c r="T1561" s="278"/>
      <c r="U1561" s="278"/>
      <c r="V1561" s="278"/>
      <c r="W1561" s="278"/>
    </row>
    <row r="1562" spans="1:23" s="269" customFormat="1" ht="20.25">
      <c r="A1562" s="267"/>
      <c r="B1562" s="275" t="s">
        <v>2437</v>
      </c>
      <c r="C1562" s="275" t="s">
        <v>3831</v>
      </c>
      <c r="D1562" s="168" t="s">
        <v>7065</v>
      </c>
      <c r="E1562" s="168" t="s">
        <v>2308</v>
      </c>
      <c r="F1562" s="168" t="s">
        <v>4623</v>
      </c>
      <c r="G1562" s="168" t="s">
        <v>4623</v>
      </c>
      <c r="H1562" s="292" t="s">
        <v>7066</v>
      </c>
      <c r="I1562" s="293" t="s">
        <v>3347</v>
      </c>
      <c r="J1562" s="293" t="s">
        <v>3347</v>
      </c>
      <c r="K1562" s="290" t="s">
        <v>4623</v>
      </c>
      <c r="L1562" s="290" t="s">
        <v>4623</v>
      </c>
      <c r="M1562" s="290" t="s">
        <v>4623</v>
      </c>
      <c r="N1562" s="290" t="s">
        <v>4623</v>
      </c>
      <c r="O1562" s="290" t="s">
        <v>4623</v>
      </c>
      <c r="P1562" s="290" t="s">
        <v>999</v>
      </c>
      <c r="Q1562" s="291" t="s">
        <v>4623</v>
      </c>
      <c r="R1562" s="276"/>
      <c r="S1562" s="277">
        <f>IF(OR(C1562="",C1562=T$4),NA(),MATCH($B1562&amp;$C1562,'Smelter Reference List'!$J:$J,0))</f>
        <v>442</v>
      </c>
      <c r="T1562" s="278"/>
      <c r="U1562" s="278"/>
      <c r="V1562" s="278"/>
      <c r="W1562" s="278"/>
    </row>
    <row r="1563" spans="1:23" s="269" customFormat="1" ht="20.25">
      <c r="A1563" s="267"/>
      <c r="B1563" s="275" t="s">
        <v>2437</v>
      </c>
      <c r="C1563" s="275" t="s">
        <v>3831</v>
      </c>
      <c r="D1563" s="168" t="s">
        <v>7067</v>
      </c>
      <c r="E1563" s="168" t="s">
        <v>2308</v>
      </c>
      <c r="F1563" s="168" t="s">
        <v>4623</v>
      </c>
      <c r="G1563" s="168" t="s">
        <v>4623</v>
      </c>
      <c r="H1563" s="292" t="s">
        <v>4623</v>
      </c>
      <c r="I1563" s="293" t="s">
        <v>4623</v>
      </c>
      <c r="J1563" s="293" t="s">
        <v>7068</v>
      </c>
      <c r="K1563" s="290" t="s">
        <v>7069</v>
      </c>
      <c r="L1563" s="290" t="s">
        <v>4623</v>
      </c>
      <c r="M1563" s="290" t="s">
        <v>4623</v>
      </c>
      <c r="N1563" s="290" t="s">
        <v>4623</v>
      </c>
      <c r="O1563" s="290" t="s">
        <v>4623</v>
      </c>
      <c r="P1563" s="290" t="s">
        <v>999</v>
      </c>
      <c r="Q1563" s="291" t="s">
        <v>4623</v>
      </c>
      <c r="R1563" s="276"/>
      <c r="S1563" s="277">
        <f>IF(OR(C1563="",C1563=T$4),NA(),MATCH($B1563&amp;$C1563,'Smelter Reference List'!$J:$J,0))</f>
        <v>442</v>
      </c>
      <c r="T1563" s="278"/>
      <c r="U1563" s="278"/>
      <c r="V1563" s="278"/>
      <c r="W1563" s="278"/>
    </row>
    <row r="1564" spans="1:23" s="269" customFormat="1" ht="20.25">
      <c r="A1564" s="267"/>
      <c r="B1564" s="275" t="s">
        <v>2437</v>
      </c>
      <c r="C1564" s="275" t="s">
        <v>3831</v>
      </c>
      <c r="D1564" s="168" t="s">
        <v>4913</v>
      </c>
      <c r="E1564" s="168" t="s">
        <v>2308</v>
      </c>
      <c r="F1564" s="168" t="s">
        <v>4623</v>
      </c>
      <c r="G1564" s="168" t="s">
        <v>4623</v>
      </c>
      <c r="H1564" s="292" t="s">
        <v>7070</v>
      </c>
      <c r="I1564" s="293" t="s">
        <v>7071</v>
      </c>
      <c r="J1564" s="293" t="s">
        <v>4623</v>
      </c>
      <c r="K1564" s="290" t="s">
        <v>7072</v>
      </c>
      <c r="L1564" s="290" t="s">
        <v>7073</v>
      </c>
      <c r="M1564" s="290" t="s">
        <v>4623</v>
      </c>
      <c r="N1564" s="290" t="s">
        <v>4623</v>
      </c>
      <c r="O1564" s="290" t="s">
        <v>4623</v>
      </c>
      <c r="P1564" s="290" t="s">
        <v>999</v>
      </c>
      <c r="Q1564" s="291" t="s">
        <v>4623</v>
      </c>
      <c r="R1564" s="276"/>
      <c r="S1564" s="277">
        <f>IF(OR(C1564="",C1564=T$4),NA(),MATCH($B1564&amp;$C1564,'Smelter Reference List'!$J:$J,0))</f>
        <v>442</v>
      </c>
      <c r="T1564" s="278"/>
      <c r="U1564" s="278"/>
      <c r="V1564" s="278"/>
      <c r="W1564" s="278"/>
    </row>
    <row r="1565" spans="1:23" s="269" customFormat="1" ht="20.25">
      <c r="A1565" s="267"/>
      <c r="B1565" s="275" t="s">
        <v>2437</v>
      </c>
      <c r="C1565" s="275" t="s">
        <v>3831</v>
      </c>
      <c r="D1565" s="168" t="s">
        <v>7074</v>
      </c>
      <c r="E1565" s="168" t="s">
        <v>2308</v>
      </c>
      <c r="F1565" s="168" t="s">
        <v>4623</v>
      </c>
      <c r="G1565" s="168" t="s">
        <v>4623</v>
      </c>
      <c r="H1565" s="292" t="s">
        <v>7075</v>
      </c>
      <c r="I1565" s="293" t="s">
        <v>7076</v>
      </c>
      <c r="J1565" s="293" t="s">
        <v>7077</v>
      </c>
      <c r="K1565" s="290" t="s">
        <v>7078</v>
      </c>
      <c r="L1565" s="290" t="s">
        <v>7079</v>
      </c>
      <c r="M1565" s="290" t="s">
        <v>1005</v>
      </c>
      <c r="N1565" s="290" t="s">
        <v>6193</v>
      </c>
      <c r="O1565" s="290" t="s">
        <v>4644</v>
      </c>
      <c r="P1565" s="290" t="s">
        <v>999</v>
      </c>
      <c r="Q1565" s="291" t="s">
        <v>4623</v>
      </c>
      <c r="R1565" s="276"/>
      <c r="S1565" s="277">
        <f>IF(OR(C1565="",C1565=T$4),NA(),MATCH($B1565&amp;$C1565,'Smelter Reference List'!$J:$J,0))</f>
        <v>442</v>
      </c>
      <c r="T1565" s="278"/>
      <c r="U1565" s="278"/>
      <c r="V1565" s="278"/>
      <c r="W1565" s="278"/>
    </row>
    <row r="1566" spans="1:23" s="269" customFormat="1" ht="20.25">
      <c r="A1566" s="267"/>
      <c r="B1566" s="275" t="s">
        <v>2437</v>
      </c>
      <c r="C1566" s="275" t="s">
        <v>3831</v>
      </c>
      <c r="D1566" s="168" t="s">
        <v>7080</v>
      </c>
      <c r="E1566" s="168" t="s">
        <v>2308</v>
      </c>
      <c r="F1566" s="168" t="s">
        <v>4623</v>
      </c>
      <c r="G1566" s="168" t="s">
        <v>4623</v>
      </c>
      <c r="H1566" s="292" t="s">
        <v>7081</v>
      </c>
      <c r="I1566" s="293" t="s">
        <v>7082</v>
      </c>
      <c r="J1566" s="293" t="s">
        <v>4623</v>
      </c>
      <c r="K1566" s="290" t="s">
        <v>4623</v>
      </c>
      <c r="L1566" s="290" t="s">
        <v>4623</v>
      </c>
      <c r="M1566" s="290" t="s">
        <v>4623</v>
      </c>
      <c r="N1566" s="290" t="s">
        <v>4623</v>
      </c>
      <c r="O1566" s="290" t="s">
        <v>4623</v>
      </c>
      <c r="P1566" s="290" t="s">
        <v>999</v>
      </c>
      <c r="Q1566" s="291" t="s">
        <v>4623</v>
      </c>
      <c r="R1566" s="276"/>
      <c r="S1566" s="277">
        <f>IF(OR(C1566="",C1566=T$4),NA(),MATCH($B1566&amp;$C1566,'Smelter Reference List'!$J:$J,0))</f>
        <v>442</v>
      </c>
      <c r="T1566" s="278"/>
      <c r="U1566" s="278"/>
      <c r="V1566" s="278"/>
      <c r="W1566" s="278"/>
    </row>
    <row r="1567" spans="1:23" s="269" customFormat="1" ht="20.25">
      <c r="A1567" s="267"/>
      <c r="B1567" s="275" t="s">
        <v>2437</v>
      </c>
      <c r="C1567" s="275" t="s">
        <v>3831</v>
      </c>
      <c r="D1567" s="168" t="s">
        <v>7083</v>
      </c>
      <c r="E1567" s="168" t="s">
        <v>2308</v>
      </c>
      <c r="F1567" s="168" t="s">
        <v>4623</v>
      </c>
      <c r="G1567" s="168" t="s">
        <v>4623</v>
      </c>
      <c r="H1567" s="292" t="s">
        <v>7084</v>
      </c>
      <c r="I1567" s="293" t="s">
        <v>7085</v>
      </c>
      <c r="J1567" s="293" t="s">
        <v>4657</v>
      </c>
      <c r="K1567" s="290" t="s">
        <v>7086</v>
      </c>
      <c r="L1567" s="290" t="s">
        <v>7087</v>
      </c>
      <c r="M1567" s="290" t="s">
        <v>4623</v>
      </c>
      <c r="N1567" s="290" t="s">
        <v>4623</v>
      </c>
      <c r="O1567" s="290" t="s">
        <v>4623</v>
      </c>
      <c r="P1567" s="290" t="s">
        <v>999</v>
      </c>
      <c r="Q1567" s="291" t="s">
        <v>4623</v>
      </c>
      <c r="R1567" s="276"/>
      <c r="S1567" s="277">
        <f>IF(OR(C1567="",C1567=T$4),NA(),MATCH($B1567&amp;$C1567,'Smelter Reference List'!$J:$J,0))</f>
        <v>442</v>
      </c>
      <c r="T1567" s="278"/>
      <c r="U1567" s="278"/>
      <c r="V1567" s="278"/>
      <c r="W1567" s="278"/>
    </row>
    <row r="1568" spans="1:23" s="269" customFormat="1" ht="20.25">
      <c r="A1568" s="267"/>
      <c r="B1568" s="275" t="s">
        <v>2437</v>
      </c>
      <c r="C1568" s="275" t="s">
        <v>3831</v>
      </c>
      <c r="D1568" s="168" t="s">
        <v>7088</v>
      </c>
      <c r="E1568" s="168" t="s">
        <v>2308</v>
      </c>
      <c r="F1568" s="168" t="s">
        <v>4623</v>
      </c>
      <c r="G1568" s="168" t="s">
        <v>4623</v>
      </c>
      <c r="H1568" s="292" t="s">
        <v>4623</v>
      </c>
      <c r="I1568" s="293" t="s">
        <v>4623</v>
      </c>
      <c r="J1568" s="293" t="s">
        <v>4623</v>
      </c>
      <c r="K1568" s="290" t="s">
        <v>4623</v>
      </c>
      <c r="L1568" s="290" t="s">
        <v>4623</v>
      </c>
      <c r="M1568" s="290" t="s">
        <v>4623</v>
      </c>
      <c r="N1568" s="290" t="s">
        <v>4623</v>
      </c>
      <c r="O1568" s="290" t="s">
        <v>4623</v>
      </c>
      <c r="P1568" s="290" t="s">
        <v>999</v>
      </c>
      <c r="Q1568" s="291" t="s">
        <v>4623</v>
      </c>
      <c r="R1568" s="276"/>
      <c r="S1568" s="277">
        <f>IF(OR(C1568="",C1568=T$4),NA(),MATCH($B1568&amp;$C1568,'Smelter Reference List'!$J:$J,0))</f>
        <v>442</v>
      </c>
      <c r="T1568" s="278"/>
      <c r="U1568" s="278"/>
      <c r="V1568" s="278"/>
      <c r="W1568" s="278"/>
    </row>
    <row r="1569" spans="1:23" s="269" customFormat="1" ht="20.25">
      <c r="A1569" s="267"/>
      <c r="B1569" s="275" t="s">
        <v>2437</v>
      </c>
      <c r="C1569" s="275" t="s">
        <v>3831</v>
      </c>
      <c r="D1569" s="168" t="s">
        <v>7089</v>
      </c>
      <c r="E1569" s="168" t="s">
        <v>2308</v>
      </c>
      <c r="F1569" s="168" t="s">
        <v>4623</v>
      </c>
      <c r="G1569" s="168" t="s">
        <v>4623</v>
      </c>
      <c r="H1569" s="292" t="s">
        <v>4623</v>
      </c>
      <c r="I1569" s="293" t="s">
        <v>4623</v>
      </c>
      <c r="J1569" s="293" t="s">
        <v>4623</v>
      </c>
      <c r="K1569" s="290" t="s">
        <v>4623</v>
      </c>
      <c r="L1569" s="290" t="s">
        <v>4623</v>
      </c>
      <c r="M1569" s="290" t="s">
        <v>4623</v>
      </c>
      <c r="N1569" s="290" t="s">
        <v>4623</v>
      </c>
      <c r="O1569" s="290" t="s">
        <v>4623</v>
      </c>
      <c r="P1569" s="290" t="s">
        <v>999</v>
      </c>
      <c r="Q1569" s="291" t="s">
        <v>4623</v>
      </c>
      <c r="R1569" s="276"/>
      <c r="S1569" s="277">
        <f>IF(OR(C1569="",C1569=T$4),NA(),MATCH($B1569&amp;$C1569,'Smelter Reference List'!$J:$J,0))</f>
        <v>442</v>
      </c>
      <c r="T1569" s="278"/>
      <c r="U1569" s="278"/>
      <c r="V1569" s="278"/>
      <c r="W1569" s="278"/>
    </row>
    <row r="1570" spans="1:23" s="269" customFormat="1" ht="20.25">
      <c r="A1570" s="267"/>
      <c r="B1570" s="275" t="s">
        <v>2437</v>
      </c>
      <c r="C1570" s="275" t="s">
        <v>3831</v>
      </c>
      <c r="D1570" s="168" t="s">
        <v>6532</v>
      </c>
      <c r="E1570" s="168" t="s">
        <v>2308</v>
      </c>
      <c r="F1570" s="168" t="s">
        <v>4623</v>
      </c>
      <c r="G1570" s="168" t="s">
        <v>4623</v>
      </c>
      <c r="H1570" s="292" t="s">
        <v>4623</v>
      </c>
      <c r="I1570" s="293" t="s">
        <v>4623</v>
      </c>
      <c r="J1570" s="293" t="s">
        <v>4623</v>
      </c>
      <c r="K1570" s="290" t="s">
        <v>4623</v>
      </c>
      <c r="L1570" s="290" t="s">
        <v>4623</v>
      </c>
      <c r="M1570" s="290" t="s">
        <v>4623</v>
      </c>
      <c r="N1570" s="290" t="s">
        <v>4623</v>
      </c>
      <c r="O1570" s="290" t="s">
        <v>4623</v>
      </c>
      <c r="P1570" s="290" t="s">
        <v>999</v>
      </c>
      <c r="Q1570" s="291" t="s">
        <v>4623</v>
      </c>
      <c r="R1570" s="276"/>
      <c r="S1570" s="277">
        <f>IF(OR(C1570="",C1570=T$4),NA(),MATCH($B1570&amp;$C1570,'Smelter Reference List'!$J:$J,0))</f>
        <v>442</v>
      </c>
      <c r="T1570" s="278"/>
      <c r="U1570" s="278"/>
      <c r="V1570" s="278"/>
      <c r="W1570" s="278"/>
    </row>
    <row r="1571" spans="1:23" s="269" customFormat="1" ht="20.25">
      <c r="A1571" s="267"/>
      <c r="B1571" s="275" t="s">
        <v>2437</v>
      </c>
      <c r="C1571" s="275" t="s">
        <v>3831</v>
      </c>
      <c r="D1571" s="168" t="s">
        <v>7090</v>
      </c>
      <c r="E1571" s="168" t="s">
        <v>2308</v>
      </c>
      <c r="F1571" s="168" t="s">
        <v>4623</v>
      </c>
      <c r="G1571" s="168" t="s">
        <v>4623</v>
      </c>
      <c r="H1571" s="292" t="s">
        <v>7091</v>
      </c>
      <c r="I1571" s="293" t="s">
        <v>7085</v>
      </c>
      <c r="J1571" s="293" t="s">
        <v>4657</v>
      </c>
      <c r="K1571" s="290" t="s">
        <v>7092</v>
      </c>
      <c r="L1571" s="290" t="s">
        <v>7093</v>
      </c>
      <c r="M1571" s="290" t="s">
        <v>4623</v>
      </c>
      <c r="N1571" s="290" t="s">
        <v>4623</v>
      </c>
      <c r="O1571" s="290" t="s">
        <v>4623</v>
      </c>
      <c r="P1571" s="290" t="s">
        <v>999</v>
      </c>
      <c r="Q1571" s="291" t="s">
        <v>4623</v>
      </c>
      <c r="R1571" s="276"/>
      <c r="S1571" s="277">
        <f>IF(OR(C1571="",C1571=T$4),NA(),MATCH($B1571&amp;$C1571,'Smelter Reference List'!$J:$J,0))</f>
        <v>442</v>
      </c>
      <c r="T1571" s="278"/>
      <c r="U1571" s="278"/>
      <c r="V1571" s="278"/>
      <c r="W1571" s="278"/>
    </row>
    <row r="1572" spans="1:23" s="269" customFormat="1" ht="20.25">
      <c r="A1572" s="267"/>
      <c r="B1572" s="275" t="s">
        <v>2437</v>
      </c>
      <c r="C1572" s="275" t="s">
        <v>3831</v>
      </c>
      <c r="D1572" s="168" t="s">
        <v>7094</v>
      </c>
      <c r="E1572" s="168" t="s">
        <v>2308</v>
      </c>
      <c r="F1572" s="168" t="s">
        <v>4623</v>
      </c>
      <c r="G1572" s="168" t="s">
        <v>4623</v>
      </c>
      <c r="H1572" s="292" t="s">
        <v>4623</v>
      </c>
      <c r="I1572" s="293" t="s">
        <v>4623</v>
      </c>
      <c r="J1572" s="293" t="s">
        <v>4623</v>
      </c>
      <c r="K1572" s="290" t="s">
        <v>4623</v>
      </c>
      <c r="L1572" s="290" t="s">
        <v>4623</v>
      </c>
      <c r="M1572" s="290" t="s">
        <v>4623</v>
      </c>
      <c r="N1572" s="290" t="s">
        <v>4623</v>
      </c>
      <c r="O1572" s="290" t="s">
        <v>4623</v>
      </c>
      <c r="P1572" s="290" t="s">
        <v>999</v>
      </c>
      <c r="Q1572" s="291" t="s">
        <v>4623</v>
      </c>
      <c r="R1572" s="276"/>
      <c r="S1572" s="277">
        <f>IF(OR(C1572="",C1572=T$4),NA(),MATCH($B1572&amp;$C1572,'Smelter Reference List'!$J:$J,0))</f>
        <v>442</v>
      </c>
      <c r="T1572" s="278"/>
      <c r="U1572" s="278"/>
      <c r="V1572" s="278"/>
      <c r="W1572" s="278"/>
    </row>
    <row r="1573" spans="1:23" s="269" customFormat="1" ht="20.25">
      <c r="A1573" s="267"/>
      <c r="B1573" s="275" t="s">
        <v>2437</v>
      </c>
      <c r="C1573" s="275" t="s">
        <v>3831</v>
      </c>
      <c r="D1573" s="168" t="s">
        <v>7095</v>
      </c>
      <c r="E1573" s="168" t="s">
        <v>2308</v>
      </c>
      <c r="F1573" s="168" t="s">
        <v>4623</v>
      </c>
      <c r="G1573" s="168" t="s">
        <v>4623</v>
      </c>
      <c r="H1573" s="292" t="s">
        <v>7096</v>
      </c>
      <c r="I1573" s="293" t="s">
        <v>7097</v>
      </c>
      <c r="J1573" s="293" t="s">
        <v>7098</v>
      </c>
      <c r="K1573" s="290" t="s">
        <v>7099</v>
      </c>
      <c r="L1573" s="290" t="s">
        <v>7100</v>
      </c>
      <c r="M1573" s="290" t="s">
        <v>1005</v>
      </c>
      <c r="N1573" s="290" t="s">
        <v>6193</v>
      </c>
      <c r="O1573" s="290" t="s">
        <v>4644</v>
      </c>
      <c r="P1573" s="290" t="s">
        <v>999</v>
      </c>
      <c r="Q1573" s="291" t="s">
        <v>7101</v>
      </c>
      <c r="R1573" s="276"/>
      <c r="S1573" s="277">
        <f>IF(OR(C1573="",C1573=T$4),NA(),MATCH($B1573&amp;$C1573,'Smelter Reference List'!$J:$J,0))</f>
        <v>442</v>
      </c>
      <c r="T1573" s="278"/>
      <c r="U1573" s="278"/>
      <c r="V1573" s="278"/>
      <c r="W1573" s="278"/>
    </row>
    <row r="1574" spans="1:23" s="269" customFormat="1" ht="20.25">
      <c r="A1574" s="267"/>
      <c r="B1574" s="275" t="s">
        <v>2437</v>
      </c>
      <c r="C1574" s="275" t="s">
        <v>3831</v>
      </c>
      <c r="D1574" s="168" t="s">
        <v>7102</v>
      </c>
      <c r="E1574" s="168" t="s">
        <v>2308</v>
      </c>
      <c r="F1574" s="168" t="s">
        <v>4623</v>
      </c>
      <c r="G1574" s="168" t="s">
        <v>4623</v>
      </c>
      <c r="H1574" s="292" t="s">
        <v>7103</v>
      </c>
      <c r="I1574" s="293" t="s">
        <v>7104</v>
      </c>
      <c r="J1574" s="293" t="s">
        <v>7105</v>
      </c>
      <c r="K1574" s="290" t="s">
        <v>4623</v>
      </c>
      <c r="L1574" s="290" t="s">
        <v>4623</v>
      </c>
      <c r="M1574" s="290" t="s">
        <v>4623</v>
      </c>
      <c r="N1574" s="290" t="s">
        <v>4623</v>
      </c>
      <c r="O1574" s="290" t="s">
        <v>4623</v>
      </c>
      <c r="P1574" s="290" t="s">
        <v>999</v>
      </c>
      <c r="Q1574" s="291" t="s">
        <v>7106</v>
      </c>
      <c r="R1574" s="276"/>
      <c r="S1574" s="277">
        <f>IF(OR(C1574="",C1574=T$4),NA(),MATCH($B1574&amp;$C1574,'Smelter Reference List'!$J:$J,0))</f>
        <v>442</v>
      </c>
      <c r="T1574" s="278"/>
      <c r="U1574" s="278"/>
      <c r="V1574" s="278"/>
      <c r="W1574" s="278"/>
    </row>
    <row r="1575" spans="1:23" s="269" customFormat="1" ht="20.25">
      <c r="A1575" s="267"/>
      <c r="B1575" s="275" t="s">
        <v>2437</v>
      </c>
      <c r="C1575" s="275" t="s">
        <v>3831</v>
      </c>
      <c r="D1575" s="168" t="s">
        <v>7107</v>
      </c>
      <c r="E1575" s="168" t="s">
        <v>2308</v>
      </c>
      <c r="F1575" s="168" t="s">
        <v>4623</v>
      </c>
      <c r="G1575" s="168" t="s">
        <v>4623</v>
      </c>
      <c r="H1575" s="292" t="s">
        <v>4623</v>
      </c>
      <c r="I1575" s="293" t="s">
        <v>4623</v>
      </c>
      <c r="J1575" s="293" t="s">
        <v>4623</v>
      </c>
      <c r="K1575" s="290" t="s">
        <v>4623</v>
      </c>
      <c r="L1575" s="290" t="s">
        <v>4623</v>
      </c>
      <c r="M1575" s="290" t="s">
        <v>4623</v>
      </c>
      <c r="N1575" s="290" t="s">
        <v>4623</v>
      </c>
      <c r="O1575" s="290" t="s">
        <v>4623</v>
      </c>
      <c r="P1575" s="290" t="s">
        <v>999</v>
      </c>
      <c r="Q1575" s="291" t="s">
        <v>4623</v>
      </c>
      <c r="R1575" s="276"/>
      <c r="S1575" s="277">
        <f>IF(OR(C1575="",C1575=T$4),NA(),MATCH($B1575&amp;$C1575,'Smelter Reference List'!$J:$J,0))</f>
        <v>442</v>
      </c>
      <c r="T1575" s="278"/>
      <c r="U1575" s="278"/>
      <c r="V1575" s="278"/>
      <c r="W1575" s="278"/>
    </row>
    <row r="1576" spans="1:23" s="269" customFormat="1" ht="20.25">
      <c r="A1576" s="267"/>
      <c r="B1576" s="275" t="s">
        <v>2437</v>
      </c>
      <c r="C1576" s="275" t="s">
        <v>3831</v>
      </c>
      <c r="D1576" s="168" t="s">
        <v>7108</v>
      </c>
      <c r="E1576" s="168" t="s">
        <v>2308</v>
      </c>
      <c r="F1576" s="168" t="s">
        <v>4623</v>
      </c>
      <c r="G1576" s="168" t="s">
        <v>4623</v>
      </c>
      <c r="H1576" s="292" t="s">
        <v>4623</v>
      </c>
      <c r="I1576" s="293" t="s">
        <v>4623</v>
      </c>
      <c r="J1576" s="293" t="s">
        <v>4623</v>
      </c>
      <c r="K1576" s="290" t="s">
        <v>4623</v>
      </c>
      <c r="L1576" s="290" t="s">
        <v>999</v>
      </c>
      <c r="M1576" s="290" t="s">
        <v>999</v>
      </c>
      <c r="N1576" s="290" t="s">
        <v>4623</v>
      </c>
      <c r="O1576" s="290" t="s">
        <v>4623</v>
      </c>
      <c r="P1576" s="290" t="s">
        <v>999</v>
      </c>
      <c r="Q1576" s="291" t="s">
        <v>4623</v>
      </c>
      <c r="R1576" s="276"/>
      <c r="S1576" s="277">
        <f>IF(OR(C1576="",C1576=T$4),NA(),MATCH($B1576&amp;$C1576,'Smelter Reference List'!$J:$J,0))</f>
        <v>442</v>
      </c>
      <c r="T1576" s="278"/>
      <c r="U1576" s="278"/>
      <c r="V1576" s="278"/>
      <c r="W1576" s="278"/>
    </row>
    <row r="1577" spans="1:23" s="269" customFormat="1" ht="20.25">
      <c r="A1577" s="267"/>
      <c r="B1577" s="275" t="s">
        <v>2437</v>
      </c>
      <c r="C1577" s="275" t="s">
        <v>3831</v>
      </c>
      <c r="D1577" s="168" t="s">
        <v>7109</v>
      </c>
      <c r="E1577" s="168" t="s">
        <v>2308</v>
      </c>
      <c r="F1577" s="168" t="s">
        <v>4623</v>
      </c>
      <c r="G1577" s="168" t="s">
        <v>4623</v>
      </c>
      <c r="H1577" s="292" t="s">
        <v>4623</v>
      </c>
      <c r="I1577" s="293" t="s">
        <v>4623</v>
      </c>
      <c r="J1577" s="293" t="s">
        <v>4623</v>
      </c>
      <c r="K1577" s="290" t="s">
        <v>4623</v>
      </c>
      <c r="L1577" s="290" t="s">
        <v>4623</v>
      </c>
      <c r="M1577" s="290" t="s">
        <v>4623</v>
      </c>
      <c r="N1577" s="290" t="s">
        <v>4623</v>
      </c>
      <c r="O1577" s="290" t="s">
        <v>4623</v>
      </c>
      <c r="P1577" s="290" t="s">
        <v>999</v>
      </c>
      <c r="Q1577" s="291" t="s">
        <v>7110</v>
      </c>
      <c r="R1577" s="276"/>
      <c r="S1577" s="277">
        <f>IF(OR(C1577="",C1577=T$4),NA(),MATCH($B1577&amp;$C1577,'Smelter Reference List'!$J:$J,0))</f>
        <v>442</v>
      </c>
      <c r="T1577" s="278"/>
      <c r="U1577" s="278"/>
      <c r="V1577" s="278"/>
      <c r="W1577" s="278"/>
    </row>
    <row r="1578" spans="1:23" s="269" customFormat="1" ht="20.25">
      <c r="A1578" s="267"/>
      <c r="B1578" s="275" t="s">
        <v>2437</v>
      </c>
      <c r="C1578" s="275" t="s">
        <v>3831</v>
      </c>
      <c r="D1578" s="168" t="s">
        <v>7111</v>
      </c>
      <c r="E1578" s="168" t="s">
        <v>2308</v>
      </c>
      <c r="F1578" s="168" t="s">
        <v>4623</v>
      </c>
      <c r="G1578" s="168" t="s">
        <v>4623</v>
      </c>
      <c r="H1578" s="292" t="s">
        <v>7112</v>
      </c>
      <c r="I1578" s="293" t="s">
        <v>7113</v>
      </c>
      <c r="J1578" s="293" t="s">
        <v>7114</v>
      </c>
      <c r="K1578" s="290" t="s">
        <v>7115</v>
      </c>
      <c r="L1578" s="290" t="s">
        <v>7116</v>
      </c>
      <c r="M1578" s="290" t="s">
        <v>1005</v>
      </c>
      <c r="N1578" s="290" t="s">
        <v>6193</v>
      </c>
      <c r="O1578" s="290" t="s">
        <v>4644</v>
      </c>
      <c r="P1578" s="290" t="s">
        <v>999</v>
      </c>
      <c r="Q1578" s="291" t="s">
        <v>4623</v>
      </c>
      <c r="R1578" s="276"/>
      <c r="S1578" s="277">
        <f>IF(OR(C1578="",C1578=T$4),NA(),MATCH($B1578&amp;$C1578,'Smelter Reference List'!$J:$J,0))</f>
        <v>442</v>
      </c>
      <c r="T1578" s="278"/>
      <c r="U1578" s="278"/>
      <c r="V1578" s="278"/>
      <c r="W1578" s="278"/>
    </row>
    <row r="1579" spans="1:23" s="269" customFormat="1" ht="20.25">
      <c r="A1579" s="267"/>
      <c r="B1579" s="275" t="s">
        <v>2437</v>
      </c>
      <c r="C1579" s="275" t="s">
        <v>3831</v>
      </c>
      <c r="D1579" s="168" t="s">
        <v>7117</v>
      </c>
      <c r="E1579" s="168" t="s">
        <v>2308</v>
      </c>
      <c r="F1579" s="168" t="s">
        <v>4623</v>
      </c>
      <c r="G1579" s="168" t="s">
        <v>4623</v>
      </c>
      <c r="H1579" s="292" t="s">
        <v>7118</v>
      </c>
      <c r="I1579" s="293" t="s">
        <v>7119</v>
      </c>
      <c r="J1579" s="293" t="s">
        <v>4623</v>
      </c>
      <c r="K1579" s="290" t="s">
        <v>7120</v>
      </c>
      <c r="L1579" s="290" t="s">
        <v>4623</v>
      </c>
      <c r="M1579" s="290" t="s">
        <v>4623</v>
      </c>
      <c r="N1579" s="290" t="s">
        <v>4623</v>
      </c>
      <c r="O1579" s="290" t="s">
        <v>4623</v>
      </c>
      <c r="P1579" s="290" t="s">
        <v>999</v>
      </c>
      <c r="Q1579" s="291" t="s">
        <v>4623</v>
      </c>
      <c r="R1579" s="276"/>
      <c r="S1579" s="277">
        <f>IF(OR(C1579="",C1579=T$4),NA(),MATCH($B1579&amp;$C1579,'Smelter Reference List'!$J:$J,0))</f>
        <v>442</v>
      </c>
      <c r="T1579" s="278"/>
      <c r="U1579" s="278"/>
      <c r="V1579" s="278"/>
      <c r="W1579" s="278"/>
    </row>
    <row r="1580" spans="1:23" s="269" customFormat="1" ht="20.25">
      <c r="A1580" s="267"/>
      <c r="B1580" s="275" t="s">
        <v>2437</v>
      </c>
      <c r="C1580" s="275" t="s">
        <v>3831</v>
      </c>
      <c r="D1580" s="168" t="s">
        <v>7121</v>
      </c>
      <c r="E1580" s="168" t="s">
        <v>2308</v>
      </c>
      <c r="F1580" s="168" t="s">
        <v>4623</v>
      </c>
      <c r="G1580" s="168" t="s">
        <v>4623</v>
      </c>
      <c r="H1580" s="292" t="s">
        <v>4623</v>
      </c>
      <c r="I1580" s="293" t="s">
        <v>4623</v>
      </c>
      <c r="J1580" s="293" t="s">
        <v>4623</v>
      </c>
      <c r="K1580" s="290" t="s">
        <v>4623</v>
      </c>
      <c r="L1580" s="290" t="s">
        <v>4623</v>
      </c>
      <c r="M1580" s="290" t="s">
        <v>4623</v>
      </c>
      <c r="N1580" s="290" t="s">
        <v>4623</v>
      </c>
      <c r="O1580" s="290" t="s">
        <v>4623</v>
      </c>
      <c r="P1580" s="290" t="s">
        <v>999</v>
      </c>
      <c r="Q1580" s="291" t="s">
        <v>4623</v>
      </c>
      <c r="R1580" s="276"/>
      <c r="S1580" s="277">
        <f>IF(OR(C1580="",C1580=T$4),NA(),MATCH($B1580&amp;$C1580,'Smelter Reference List'!$J:$J,0))</f>
        <v>442</v>
      </c>
      <c r="T1580" s="278"/>
      <c r="U1580" s="278"/>
      <c r="V1580" s="278"/>
      <c r="W1580" s="278"/>
    </row>
    <row r="1581" spans="1:23" s="269" customFormat="1" ht="20.25">
      <c r="A1581" s="267"/>
      <c r="B1581" s="275" t="s">
        <v>2437</v>
      </c>
      <c r="C1581" s="275" t="s">
        <v>3831</v>
      </c>
      <c r="D1581" s="168" t="s">
        <v>7122</v>
      </c>
      <c r="E1581" s="168" t="s">
        <v>2308</v>
      </c>
      <c r="F1581" s="168" t="s">
        <v>4623</v>
      </c>
      <c r="G1581" s="168" t="s">
        <v>4623</v>
      </c>
      <c r="H1581" s="292" t="s">
        <v>4623</v>
      </c>
      <c r="I1581" s="293" t="s">
        <v>4623</v>
      </c>
      <c r="J1581" s="293" t="s">
        <v>4623</v>
      </c>
      <c r="K1581" s="290" t="s">
        <v>4623</v>
      </c>
      <c r="L1581" s="290" t="s">
        <v>7123</v>
      </c>
      <c r="M1581" s="290" t="s">
        <v>4623</v>
      </c>
      <c r="N1581" s="290" t="s">
        <v>4623</v>
      </c>
      <c r="O1581" s="290" t="s">
        <v>4623</v>
      </c>
      <c r="P1581" s="290" t="s">
        <v>999</v>
      </c>
      <c r="Q1581" s="291" t="s">
        <v>4623</v>
      </c>
      <c r="R1581" s="276"/>
      <c r="S1581" s="277">
        <f>IF(OR(C1581="",C1581=T$4),NA(),MATCH($B1581&amp;$C1581,'Smelter Reference List'!$J:$J,0))</f>
        <v>442</v>
      </c>
      <c r="T1581" s="278"/>
      <c r="U1581" s="278"/>
      <c r="V1581" s="278"/>
      <c r="W1581" s="278"/>
    </row>
    <row r="1582" spans="1:23" s="269" customFormat="1" ht="20.25">
      <c r="A1582" s="267"/>
      <c r="B1582" s="275" t="s">
        <v>2437</v>
      </c>
      <c r="C1582" s="275" t="s">
        <v>3831</v>
      </c>
      <c r="D1582" s="168" t="s">
        <v>7124</v>
      </c>
      <c r="E1582" s="168" t="s">
        <v>2308</v>
      </c>
      <c r="F1582" s="168" t="s">
        <v>4623</v>
      </c>
      <c r="G1582" s="168" t="s">
        <v>4623</v>
      </c>
      <c r="H1582" s="292" t="s">
        <v>4623</v>
      </c>
      <c r="I1582" s="293" t="s">
        <v>4623</v>
      </c>
      <c r="J1582" s="293" t="s">
        <v>4623</v>
      </c>
      <c r="K1582" s="290" t="s">
        <v>4623</v>
      </c>
      <c r="L1582" s="290" t="s">
        <v>4623</v>
      </c>
      <c r="M1582" s="290" t="s">
        <v>4623</v>
      </c>
      <c r="N1582" s="290" t="s">
        <v>4623</v>
      </c>
      <c r="O1582" s="290" t="s">
        <v>4623</v>
      </c>
      <c r="P1582" s="290" t="s">
        <v>999</v>
      </c>
      <c r="Q1582" s="291" t="s">
        <v>4623</v>
      </c>
      <c r="R1582" s="276"/>
      <c r="S1582" s="277">
        <f>IF(OR(C1582="",C1582=T$4),NA(),MATCH($B1582&amp;$C1582,'Smelter Reference List'!$J:$J,0))</f>
        <v>442</v>
      </c>
      <c r="T1582" s="278"/>
      <c r="U1582" s="278"/>
      <c r="V1582" s="278"/>
      <c r="W1582" s="278"/>
    </row>
    <row r="1583" spans="1:23" s="269" customFormat="1" ht="20.25">
      <c r="A1583" s="267"/>
      <c r="B1583" s="275" t="s">
        <v>2437</v>
      </c>
      <c r="C1583" s="275" t="s">
        <v>3831</v>
      </c>
      <c r="D1583" s="168" t="s">
        <v>4690</v>
      </c>
      <c r="E1583" s="168" t="s">
        <v>2308</v>
      </c>
      <c r="F1583" s="168" t="s">
        <v>4623</v>
      </c>
      <c r="G1583" s="168" t="s">
        <v>4623</v>
      </c>
      <c r="H1583" s="292" t="s">
        <v>4623</v>
      </c>
      <c r="I1583" s="293" t="s">
        <v>4623</v>
      </c>
      <c r="J1583" s="293" t="s">
        <v>4623</v>
      </c>
      <c r="K1583" s="290" t="s">
        <v>4623</v>
      </c>
      <c r="L1583" s="290" t="s">
        <v>4623</v>
      </c>
      <c r="M1583" s="290" t="s">
        <v>4623</v>
      </c>
      <c r="N1583" s="290" t="s">
        <v>4623</v>
      </c>
      <c r="O1583" s="290" t="s">
        <v>4623</v>
      </c>
      <c r="P1583" s="290" t="s">
        <v>999</v>
      </c>
      <c r="Q1583" s="291" t="s">
        <v>4623</v>
      </c>
      <c r="R1583" s="276"/>
      <c r="S1583" s="277">
        <f>IF(OR(C1583="",C1583=T$4),NA(),MATCH($B1583&amp;$C1583,'Smelter Reference List'!$J:$J,0))</f>
        <v>442</v>
      </c>
      <c r="T1583" s="278"/>
      <c r="U1583" s="278"/>
      <c r="V1583" s="278"/>
      <c r="W1583" s="278"/>
    </row>
    <row r="1584" spans="1:23" s="269" customFormat="1" ht="20.25">
      <c r="A1584" s="267"/>
      <c r="B1584" s="275" t="s">
        <v>2437</v>
      </c>
      <c r="C1584" s="275" t="s">
        <v>3831</v>
      </c>
      <c r="D1584" s="168" t="s">
        <v>6654</v>
      </c>
      <c r="E1584" s="168" t="s">
        <v>2308</v>
      </c>
      <c r="F1584" s="168" t="s">
        <v>4623</v>
      </c>
      <c r="G1584" s="168" t="s">
        <v>4623</v>
      </c>
      <c r="H1584" s="292" t="s">
        <v>4623</v>
      </c>
      <c r="I1584" s="293" t="s">
        <v>4623</v>
      </c>
      <c r="J1584" s="293" t="s">
        <v>4623</v>
      </c>
      <c r="K1584" s="290" t="s">
        <v>4623</v>
      </c>
      <c r="L1584" s="290" t="s">
        <v>4623</v>
      </c>
      <c r="M1584" s="290" t="s">
        <v>4623</v>
      </c>
      <c r="N1584" s="290" t="s">
        <v>4623</v>
      </c>
      <c r="O1584" s="290" t="s">
        <v>4623</v>
      </c>
      <c r="P1584" s="290" t="s">
        <v>999</v>
      </c>
      <c r="Q1584" s="291" t="s">
        <v>4623</v>
      </c>
      <c r="R1584" s="276"/>
      <c r="S1584" s="277">
        <f>IF(OR(C1584="",C1584=T$4),NA(),MATCH($B1584&amp;$C1584,'Smelter Reference List'!$J:$J,0))</f>
        <v>442</v>
      </c>
      <c r="T1584" s="278"/>
      <c r="U1584" s="278"/>
      <c r="V1584" s="278"/>
      <c r="W1584" s="278"/>
    </row>
    <row r="1585" spans="1:23" s="269" customFormat="1" ht="20.25">
      <c r="A1585" s="267"/>
      <c r="B1585" s="275" t="s">
        <v>2437</v>
      </c>
      <c r="C1585" s="275" t="s">
        <v>3831</v>
      </c>
      <c r="D1585" s="168" t="s">
        <v>5442</v>
      </c>
      <c r="E1585" s="168" t="s">
        <v>2308</v>
      </c>
      <c r="F1585" s="168" t="s">
        <v>4623</v>
      </c>
      <c r="G1585" s="168" t="s">
        <v>4623</v>
      </c>
      <c r="H1585" s="292" t="s">
        <v>4623</v>
      </c>
      <c r="I1585" s="293" t="s">
        <v>4623</v>
      </c>
      <c r="J1585" s="293" t="s">
        <v>4623</v>
      </c>
      <c r="K1585" s="290" t="s">
        <v>4623</v>
      </c>
      <c r="L1585" s="290" t="s">
        <v>4623</v>
      </c>
      <c r="M1585" s="290" t="s">
        <v>4623</v>
      </c>
      <c r="N1585" s="290" t="s">
        <v>4623</v>
      </c>
      <c r="O1585" s="290" t="s">
        <v>4623</v>
      </c>
      <c r="P1585" s="290" t="s">
        <v>999</v>
      </c>
      <c r="Q1585" s="291" t="s">
        <v>4623</v>
      </c>
      <c r="R1585" s="276"/>
      <c r="S1585" s="277">
        <f>IF(OR(C1585="",C1585=T$4),NA(),MATCH($B1585&amp;$C1585,'Smelter Reference List'!$J:$J,0))</f>
        <v>442</v>
      </c>
      <c r="T1585" s="278"/>
      <c r="U1585" s="278"/>
      <c r="V1585" s="278"/>
      <c r="W1585" s="278"/>
    </row>
    <row r="1586" spans="1:23" s="269" customFormat="1" ht="20.25">
      <c r="A1586" s="267"/>
      <c r="B1586" s="275" t="s">
        <v>2437</v>
      </c>
      <c r="C1586" s="275" t="s">
        <v>3831</v>
      </c>
      <c r="D1586" s="168" t="s">
        <v>6656</v>
      </c>
      <c r="E1586" s="168" t="s">
        <v>2308</v>
      </c>
      <c r="F1586" s="168" t="s">
        <v>4623</v>
      </c>
      <c r="G1586" s="168" t="s">
        <v>4623</v>
      </c>
      <c r="H1586" s="292" t="s">
        <v>4623</v>
      </c>
      <c r="I1586" s="293" t="s">
        <v>4623</v>
      </c>
      <c r="J1586" s="293" t="s">
        <v>7125</v>
      </c>
      <c r="K1586" s="290" t="s">
        <v>7126</v>
      </c>
      <c r="L1586" s="290" t="s">
        <v>4623</v>
      </c>
      <c r="M1586" s="290" t="s">
        <v>4623</v>
      </c>
      <c r="N1586" s="290" t="s">
        <v>4623</v>
      </c>
      <c r="O1586" s="290" t="s">
        <v>4623</v>
      </c>
      <c r="P1586" s="290" t="s">
        <v>999</v>
      </c>
      <c r="Q1586" s="291" t="s">
        <v>4623</v>
      </c>
      <c r="R1586" s="276"/>
      <c r="S1586" s="277">
        <f>IF(OR(C1586="",C1586=T$4),NA(),MATCH($B1586&amp;$C1586,'Smelter Reference List'!$J:$J,0))</f>
        <v>442</v>
      </c>
      <c r="T1586" s="278"/>
      <c r="U1586" s="278"/>
      <c r="V1586" s="278"/>
      <c r="W1586" s="278"/>
    </row>
    <row r="1587" spans="1:23" s="269" customFormat="1" ht="20.25">
      <c r="A1587" s="267"/>
      <c r="B1587" s="275" t="s">
        <v>2437</v>
      </c>
      <c r="C1587" s="275" t="s">
        <v>3831</v>
      </c>
      <c r="D1587" s="168" t="s">
        <v>5761</v>
      </c>
      <c r="E1587" s="168" t="s">
        <v>2308</v>
      </c>
      <c r="F1587" s="168" t="s">
        <v>4623</v>
      </c>
      <c r="G1587" s="168" t="s">
        <v>4623</v>
      </c>
      <c r="H1587" s="292" t="s">
        <v>4623</v>
      </c>
      <c r="I1587" s="293" t="s">
        <v>4623</v>
      </c>
      <c r="J1587" s="293" t="s">
        <v>4623</v>
      </c>
      <c r="K1587" s="290" t="s">
        <v>4623</v>
      </c>
      <c r="L1587" s="290" t="s">
        <v>4623</v>
      </c>
      <c r="M1587" s="290" t="s">
        <v>4623</v>
      </c>
      <c r="N1587" s="290" t="s">
        <v>4623</v>
      </c>
      <c r="O1587" s="290" t="s">
        <v>4623</v>
      </c>
      <c r="P1587" s="290" t="s">
        <v>999</v>
      </c>
      <c r="Q1587" s="291" t="s">
        <v>4623</v>
      </c>
      <c r="R1587" s="276"/>
      <c r="S1587" s="277">
        <f>IF(OR(C1587="",C1587=T$4),NA(),MATCH($B1587&amp;$C1587,'Smelter Reference List'!$J:$J,0))</f>
        <v>442</v>
      </c>
      <c r="T1587" s="278"/>
      <c r="U1587" s="278"/>
      <c r="V1587" s="278"/>
      <c r="W1587" s="278"/>
    </row>
    <row r="1588" spans="1:23" s="269" customFormat="1" ht="20.25">
      <c r="A1588" s="267"/>
      <c r="B1588" s="275" t="s">
        <v>2437</v>
      </c>
      <c r="C1588" s="275" t="s">
        <v>3831</v>
      </c>
      <c r="D1588" s="168" t="s">
        <v>4693</v>
      </c>
      <c r="E1588" s="168" t="s">
        <v>2308</v>
      </c>
      <c r="F1588" s="168" t="s">
        <v>4623</v>
      </c>
      <c r="G1588" s="168" t="s">
        <v>4623</v>
      </c>
      <c r="H1588" s="292" t="s">
        <v>3396</v>
      </c>
      <c r="I1588" s="293" t="s">
        <v>5447</v>
      </c>
      <c r="J1588" s="293" t="s">
        <v>7127</v>
      </c>
      <c r="K1588" s="290" t="s">
        <v>7128</v>
      </c>
      <c r="L1588" s="290" t="s">
        <v>4623</v>
      </c>
      <c r="M1588" s="290" t="s">
        <v>4623</v>
      </c>
      <c r="N1588" s="290" t="s">
        <v>4623</v>
      </c>
      <c r="O1588" s="290" t="s">
        <v>4623</v>
      </c>
      <c r="P1588" s="290" t="s">
        <v>999</v>
      </c>
      <c r="Q1588" s="291" t="s">
        <v>4623</v>
      </c>
      <c r="R1588" s="276"/>
      <c r="S1588" s="277">
        <f>IF(OR(C1588="",C1588=T$4),NA(),MATCH($B1588&amp;$C1588,'Smelter Reference List'!$J:$J,0))</f>
        <v>442</v>
      </c>
      <c r="T1588" s="278"/>
      <c r="U1588" s="278"/>
      <c r="V1588" s="278"/>
      <c r="W1588" s="278"/>
    </row>
    <row r="1589" spans="1:23" s="269" customFormat="1" ht="20.25">
      <c r="A1589" s="267"/>
      <c r="B1589" s="275" t="s">
        <v>2437</v>
      </c>
      <c r="C1589" s="275" t="s">
        <v>3831</v>
      </c>
      <c r="D1589" s="168" t="s">
        <v>7129</v>
      </c>
      <c r="E1589" s="168" t="s">
        <v>2308</v>
      </c>
      <c r="F1589" s="168" t="s">
        <v>4623</v>
      </c>
      <c r="G1589" s="168" t="s">
        <v>4623</v>
      </c>
      <c r="H1589" s="292" t="s">
        <v>4623</v>
      </c>
      <c r="I1589" s="293" t="s">
        <v>4623</v>
      </c>
      <c r="J1589" s="293" t="s">
        <v>4623</v>
      </c>
      <c r="K1589" s="290" t="s">
        <v>4623</v>
      </c>
      <c r="L1589" s="290" t="s">
        <v>4623</v>
      </c>
      <c r="M1589" s="290" t="s">
        <v>4623</v>
      </c>
      <c r="N1589" s="290" t="s">
        <v>4623</v>
      </c>
      <c r="O1589" s="290" t="s">
        <v>4623</v>
      </c>
      <c r="P1589" s="290" t="s">
        <v>999</v>
      </c>
      <c r="Q1589" s="291" t="s">
        <v>4623</v>
      </c>
      <c r="R1589" s="276"/>
      <c r="S1589" s="277">
        <f>IF(OR(C1589="",C1589=T$4),NA(),MATCH($B1589&amp;$C1589,'Smelter Reference List'!$J:$J,0))</f>
        <v>442</v>
      </c>
      <c r="T1589" s="278"/>
      <c r="U1589" s="278"/>
      <c r="V1589" s="278"/>
      <c r="W1589" s="278"/>
    </row>
    <row r="1590" spans="1:23" s="269" customFormat="1" ht="20.25">
      <c r="A1590" s="267"/>
      <c r="B1590" s="275" t="s">
        <v>2437</v>
      </c>
      <c r="C1590" s="275" t="s">
        <v>3831</v>
      </c>
      <c r="D1590" s="168" t="s">
        <v>7130</v>
      </c>
      <c r="E1590" s="168" t="s">
        <v>2308</v>
      </c>
      <c r="F1590" s="168" t="s">
        <v>4623</v>
      </c>
      <c r="G1590" s="168" t="s">
        <v>4623</v>
      </c>
      <c r="H1590" s="292" t="s">
        <v>4623</v>
      </c>
      <c r="I1590" s="293" t="s">
        <v>4623</v>
      </c>
      <c r="J1590" s="293" t="s">
        <v>4623</v>
      </c>
      <c r="K1590" s="290" t="s">
        <v>4623</v>
      </c>
      <c r="L1590" s="290" t="s">
        <v>4623</v>
      </c>
      <c r="M1590" s="290" t="s">
        <v>4623</v>
      </c>
      <c r="N1590" s="290" t="s">
        <v>4623</v>
      </c>
      <c r="O1590" s="290" t="s">
        <v>4623</v>
      </c>
      <c r="P1590" s="290" t="s">
        <v>999</v>
      </c>
      <c r="Q1590" s="291" t="s">
        <v>4623</v>
      </c>
      <c r="R1590" s="276"/>
      <c r="S1590" s="277">
        <f>IF(OR(C1590="",C1590=T$4),NA(),MATCH($B1590&amp;$C1590,'Smelter Reference List'!$J:$J,0))</f>
        <v>442</v>
      </c>
      <c r="T1590" s="278"/>
      <c r="U1590" s="278"/>
      <c r="V1590" s="278"/>
      <c r="W1590" s="278"/>
    </row>
    <row r="1591" spans="1:23" s="269" customFormat="1" ht="20.25">
      <c r="A1591" s="267"/>
      <c r="B1591" s="275" t="s">
        <v>2437</v>
      </c>
      <c r="C1591" s="275" t="s">
        <v>3831</v>
      </c>
      <c r="D1591" s="168" t="s">
        <v>7131</v>
      </c>
      <c r="E1591" s="168" t="s">
        <v>2308</v>
      </c>
      <c r="F1591" s="168" t="s">
        <v>4623</v>
      </c>
      <c r="G1591" s="168" t="s">
        <v>4623</v>
      </c>
      <c r="H1591" s="292" t="s">
        <v>4623</v>
      </c>
      <c r="I1591" s="293" t="s">
        <v>4623</v>
      </c>
      <c r="J1591" s="293" t="s">
        <v>4623</v>
      </c>
      <c r="K1591" s="290" t="s">
        <v>4623</v>
      </c>
      <c r="L1591" s="290" t="s">
        <v>4623</v>
      </c>
      <c r="M1591" s="290" t="s">
        <v>4623</v>
      </c>
      <c r="N1591" s="290" t="s">
        <v>4623</v>
      </c>
      <c r="O1591" s="290" t="s">
        <v>4623</v>
      </c>
      <c r="P1591" s="290" t="s">
        <v>999</v>
      </c>
      <c r="Q1591" s="291" t="s">
        <v>4623</v>
      </c>
      <c r="R1591" s="276"/>
      <c r="S1591" s="277">
        <f>IF(OR(C1591="",C1591=T$4),NA(),MATCH($B1591&amp;$C1591,'Smelter Reference List'!$J:$J,0))</f>
        <v>442</v>
      </c>
      <c r="T1591" s="278"/>
      <c r="U1591" s="278"/>
      <c r="V1591" s="278"/>
      <c r="W1591" s="278"/>
    </row>
    <row r="1592" spans="1:23" s="269" customFormat="1" ht="20.25">
      <c r="A1592" s="267"/>
      <c r="B1592" s="275" t="s">
        <v>2437</v>
      </c>
      <c r="C1592" s="275" t="s">
        <v>3831</v>
      </c>
      <c r="D1592" s="168" t="s">
        <v>7132</v>
      </c>
      <c r="E1592" s="168" t="s">
        <v>2308</v>
      </c>
      <c r="F1592" s="168" t="s">
        <v>4623</v>
      </c>
      <c r="G1592" s="168" t="s">
        <v>4623</v>
      </c>
      <c r="H1592" s="292" t="s">
        <v>4623</v>
      </c>
      <c r="I1592" s="293" t="s">
        <v>4623</v>
      </c>
      <c r="J1592" s="293" t="s">
        <v>4623</v>
      </c>
      <c r="K1592" s="290" t="s">
        <v>4623</v>
      </c>
      <c r="L1592" s="290" t="s">
        <v>4623</v>
      </c>
      <c r="M1592" s="290" t="s">
        <v>4623</v>
      </c>
      <c r="N1592" s="290" t="s">
        <v>4623</v>
      </c>
      <c r="O1592" s="290" t="s">
        <v>4623</v>
      </c>
      <c r="P1592" s="290" t="s">
        <v>999</v>
      </c>
      <c r="Q1592" s="291" t="s">
        <v>4623</v>
      </c>
      <c r="R1592" s="276"/>
      <c r="S1592" s="277">
        <f>IF(OR(C1592="",C1592=T$4),NA(),MATCH($B1592&amp;$C1592,'Smelter Reference List'!$J:$J,0))</f>
        <v>442</v>
      </c>
      <c r="T1592" s="278"/>
      <c r="U1592" s="278"/>
      <c r="V1592" s="278"/>
      <c r="W1592" s="278"/>
    </row>
    <row r="1593" spans="1:23" s="269" customFormat="1" ht="20.25">
      <c r="A1593" s="267"/>
      <c r="B1593" s="275" t="s">
        <v>2437</v>
      </c>
      <c r="C1593" s="275" t="s">
        <v>3831</v>
      </c>
      <c r="D1593" s="168" t="s">
        <v>7133</v>
      </c>
      <c r="E1593" s="168" t="s">
        <v>2308</v>
      </c>
      <c r="F1593" s="168" t="s">
        <v>4623</v>
      </c>
      <c r="G1593" s="168" t="s">
        <v>4623</v>
      </c>
      <c r="H1593" s="292" t="s">
        <v>4623</v>
      </c>
      <c r="I1593" s="293" t="s">
        <v>4623</v>
      </c>
      <c r="J1593" s="293" t="s">
        <v>4623</v>
      </c>
      <c r="K1593" s="290" t="s">
        <v>4623</v>
      </c>
      <c r="L1593" s="290" t="s">
        <v>4623</v>
      </c>
      <c r="M1593" s="290" t="s">
        <v>4623</v>
      </c>
      <c r="N1593" s="290" t="s">
        <v>4623</v>
      </c>
      <c r="O1593" s="290" t="s">
        <v>4623</v>
      </c>
      <c r="P1593" s="290" t="s">
        <v>999</v>
      </c>
      <c r="Q1593" s="291" t="s">
        <v>4623</v>
      </c>
      <c r="R1593" s="276"/>
      <c r="S1593" s="277">
        <f>IF(OR(C1593="",C1593=T$4),NA(),MATCH($B1593&amp;$C1593,'Smelter Reference List'!$J:$J,0))</f>
        <v>442</v>
      </c>
      <c r="T1593" s="278"/>
      <c r="U1593" s="278"/>
      <c r="V1593" s="278"/>
      <c r="W1593" s="278"/>
    </row>
    <row r="1594" spans="1:23" s="269" customFormat="1" ht="20.25">
      <c r="A1594" s="267"/>
      <c r="B1594" s="275" t="s">
        <v>2437</v>
      </c>
      <c r="C1594" s="275" t="s">
        <v>3831</v>
      </c>
      <c r="D1594" s="168" t="s">
        <v>7134</v>
      </c>
      <c r="E1594" s="168" t="s">
        <v>2308</v>
      </c>
      <c r="F1594" s="168" t="s">
        <v>4623</v>
      </c>
      <c r="G1594" s="168" t="s">
        <v>4623</v>
      </c>
      <c r="H1594" s="292" t="s">
        <v>4623</v>
      </c>
      <c r="I1594" s="293" t="s">
        <v>4623</v>
      </c>
      <c r="J1594" s="293" t="s">
        <v>4623</v>
      </c>
      <c r="K1594" s="290" t="s">
        <v>4623</v>
      </c>
      <c r="L1594" s="290" t="s">
        <v>4623</v>
      </c>
      <c r="M1594" s="290" t="s">
        <v>4623</v>
      </c>
      <c r="N1594" s="290" t="s">
        <v>4623</v>
      </c>
      <c r="O1594" s="290" t="s">
        <v>4623</v>
      </c>
      <c r="P1594" s="290" t="s">
        <v>999</v>
      </c>
      <c r="Q1594" s="291" t="s">
        <v>7135</v>
      </c>
      <c r="R1594" s="276"/>
      <c r="S1594" s="277">
        <f>IF(OR(C1594="",C1594=T$4),NA(),MATCH($B1594&amp;$C1594,'Smelter Reference List'!$J:$J,0))</f>
        <v>442</v>
      </c>
      <c r="T1594" s="278"/>
      <c r="U1594" s="278"/>
      <c r="V1594" s="278"/>
      <c r="W1594" s="278"/>
    </row>
    <row r="1595" spans="1:23" s="269" customFormat="1" ht="20.25">
      <c r="A1595" s="267"/>
      <c r="B1595" s="275" t="s">
        <v>2437</v>
      </c>
      <c r="C1595" s="275" t="s">
        <v>3831</v>
      </c>
      <c r="D1595" s="168" t="s">
        <v>7136</v>
      </c>
      <c r="E1595" s="168" t="s">
        <v>2308</v>
      </c>
      <c r="F1595" s="168" t="s">
        <v>4623</v>
      </c>
      <c r="G1595" s="168" t="s">
        <v>4623</v>
      </c>
      <c r="H1595" s="292" t="s">
        <v>4623</v>
      </c>
      <c r="I1595" s="293" t="s">
        <v>4623</v>
      </c>
      <c r="J1595" s="293" t="s">
        <v>4623</v>
      </c>
      <c r="K1595" s="290" t="s">
        <v>4623</v>
      </c>
      <c r="L1595" s="290" t="s">
        <v>4623</v>
      </c>
      <c r="M1595" s="290" t="s">
        <v>4623</v>
      </c>
      <c r="N1595" s="290" t="s">
        <v>4623</v>
      </c>
      <c r="O1595" s="290" t="s">
        <v>4623</v>
      </c>
      <c r="P1595" s="290" t="s">
        <v>999</v>
      </c>
      <c r="Q1595" s="291" t="s">
        <v>4623</v>
      </c>
      <c r="R1595" s="276"/>
      <c r="S1595" s="277">
        <f>IF(OR(C1595="",C1595=T$4),NA(),MATCH($B1595&amp;$C1595,'Smelter Reference List'!$J:$J,0))</f>
        <v>442</v>
      </c>
      <c r="T1595" s="278"/>
      <c r="U1595" s="278"/>
      <c r="V1595" s="278"/>
      <c r="W1595" s="278"/>
    </row>
    <row r="1596" spans="1:23" s="269" customFormat="1" ht="20.25">
      <c r="A1596" s="267"/>
      <c r="B1596" s="275" t="s">
        <v>2437</v>
      </c>
      <c r="C1596" s="275" t="s">
        <v>3831</v>
      </c>
      <c r="D1596" s="168" t="s">
        <v>7137</v>
      </c>
      <c r="E1596" s="168" t="s">
        <v>2308</v>
      </c>
      <c r="F1596" s="168" t="s">
        <v>4623</v>
      </c>
      <c r="G1596" s="168" t="s">
        <v>4623</v>
      </c>
      <c r="H1596" s="292" t="s">
        <v>4623</v>
      </c>
      <c r="I1596" s="293" t="s">
        <v>4623</v>
      </c>
      <c r="J1596" s="293" t="s">
        <v>4623</v>
      </c>
      <c r="K1596" s="290" t="s">
        <v>4623</v>
      </c>
      <c r="L1596" s="290" t="s">
        <v>4623</v>
      </c>
      <c r="M1596" s="290" t="s">
        <v>4623</v>
      </c>
      <c r="N1596" s="290" t="s">
        <v>4623</v>
      </c>
      <c r="O1596" s="290" t="s">
        <v>4623</v>
      </c>
      <c r="P1596" s="290" t="s">
        <v>999</v>
      </c>
      <c r="Q1596" s="291" t="s">
        <v>4623</v>
      </c>
      <c r="R1596" s="276"/>
      <c r="S1596" s="277">
        <f>IF(OR(C1596="",C1596=T$4),NA(),MATCH($B1596&amp;$C1596,'Smelter Reference List'!$J:$J,0))</f>
        <v>442</v>
      </c>
      <c r="T1596" s="278"/>
      <c r="U1596" s="278"/>
      <c r="V1596" s="278"/>
      <c r="W1596" s="278"/>
    </row>
    <row r="1597" spans="1:23" s="269" customFormat="1" ht="20.25">
      <c r="A1597" s="267"/>
      <c r="B1597" s="275" t="s">
        <v>2437</v>
      </c>
      <c r="C1597" s="275" t="s">
        <v>3831</v>
      </c>
      <c r="D1597" s="168" t="s">
        <v>7138</v>
      </c>
      <c r="E1597" s="168" t="s">
        <v>2308</v>
      </c>
      <c r="F1597" s="168" t="s">
        <v>4623</v>
      </c>
      <c r="G1597" s="168" t="s">
        <v>4623</v>
      </c>
      <c r="H1597" s="292" t="s">
        <v>4623</v>
      </c>
      <c r="I1597" s="293" t="s">
        <v>4623</v>
      </c>
      <c r="J1597" s="293" t="s">
        <v>4623</v>
      </c>
      <c r="K1597" s="290" t="s">
        <v>4623</v>
      </c>
      <c r="L1597" s="290" t="s">
        <v>4623</v>
      </c>
      <c r="M1597" s="290" t="s">
        <v>4623</v>
      </c>
      <c r="N1597" s="290" t="s">
        <v>4623</v>
      </c>
      <c r="O1597" s="290" t="s">
        <v>4623</v>
      </c>
      <c r="P1597" s="290" t="s">
        <v>999</v>
      </c>
      <c r="Q1597" s="291" t="s">
        <v>4623</v>
      </c>
      <c r="R1597" s="276"/>
      <c r="S1597" s="277">
        <f>IF(OR(C1597="",C1597=T$4),NA(),MATCH($B1597&amp;$C1597,'Smelter Reference List'!$J:$J,0))</f>
        <v>442</v>
      </c>
      <c r="T1597" s="278"/>
      <c r="U1597" s="278"/>
      <c r="V1597" s="278"/>
      <c r="W1597" s="278"/>
    </row>
    <row r="1598" spans="1:23" s="269" customFormat="1" ht="20.25">
      <c r="A1598" s="267"/>
      <c r="B1598" s="275" t="s">
        <v>2437</v>
      </c>
      <c r="C1598" s="275" t="s">
        <v>3831</v>
      </c>
      <c r="D1598" s="168" t="s">
        <v>4578</v>
      </c>
      <c r="E1598" s="168" t="s">
        <v>2308</v>
      </c>
      <c r="F1598" s="168" t="s">
        <v>4623</v>
      </c>
      <c r="G1598" s="168" t="s">
        <v>4623</v>
      </c>
      <c r="H1598" s="292" t="s">
        <v>4623</v>
      </c>
      <c r="I1598" s="293" t="s">
        <v>4623</v>
      </c>
      <c r="J1598" s="293" t="s">
        <v>4623</v>
      </c>
      <c r="K1598" s="290" t="s">
        <v>4623</v>
      </c>
      <c r="L1598" s="290" t="s">
        <v>4623</v>
      </c>
      <c r="M1598" s="290" t="s">
        <v>4623</v>
      </c>
      <c r="N1598" s="290" t="s">
        <v>4623</v>
      </c>
      <c r="O1598" s="290" t="s">
        <v>4623</v>
      </c>
      <c r="P1598" s="290" t="s">
        <v>999</v>
      </c>
      <c r="Q1598" s="291" t="s">
        <v>4623</v>
      </c>
      <c r="R1598" s="276"/>
      <c r="S1598" s="277">
        <f>IF(OR(C1598="",C1598=T$4),NA(),MATCH($B1598&amp;$C1598,'Smelter Reference List'!$J:$J,0))</f>
        <v>442</v>
      </c>
      <c r="T1598" s="278"/>
      <c r="U1598" s="278"/>
      <c r="V1598" s="278"/>
      <c r="W1598" s="278"/>
    </row>
    <row r="1599" spans="1:23" s="269" customFormat="1" ht="20.25">
      <c r="A1599" s="267"/>
      <c r="B1599" s="275" t="s">
        <v>2437</v>
      </c>
      <c r="C1599" s="275" t="s">
        <v>3831</v>
      </c>
      <c r="D1599" s="168" t="s">
        <v>7139</v>
      </c>
      <c r="E1599" s="168" t="s">
        <v>2308</v>
      </c>
      <c r="F1599" s="168" t="s">
        <v>4623</v>
      </c>
      <c r="G1599" s="168" t="s">
        <v>4623</v>
      </c>
      <c r="H1599" s="292" t="s">
        <v>4623</v>
      </c>
      <c r="I1599" s="293" t="s">
        <v>4623</v>
      </c>
      <c r="J1599" s="293" t="s">
        <v>4623</v>
      </c>
      <c r="K1599" s="290" t="s">
        <v>4623</v>
      </c>
      <c r="L1599" s="290" t="s">
        <v>4623</v>
      </c>
      <c r="M1599" s="290" t="s">
        <v>4623</v>
      </c>
      <c r="N1599" s="290" t="s">
        <v>4623</v>
      </c>
      <c r="O1599" s="290" t="s">
        <v>4623</v>
      </c>
      <c r="P1599" s="290" t="s">
        <v>999</v>
      </c>
      <c r="Q1599" s="291" t="s">
        <v>4623</v>
      </c>
      <c r="R1599" s="276"/>
      <c r="S1599" s="277">
        <f>IF(OR(C1599="",C1599=T$4),NA(),MATCH($B1599&amp;$C1599,'Smelter Reference List'!$J:$J,0))</f>
        <v>442</v>
      </c>
      <c r="T1599" s="278"/>
      <c r="U1599" s="278"/>
      <c r="V1599" s="278"/>
      <c r="W1599" s="278"/>
    </row>
    <row r="1600" spans="1:23" s="269" customFormat="1" ht="20.25">
      <c r="A1600" s="267"/>
      <c r="B1600" s="275" t="s">
        <v>2437</v>
      </c>
      <c r="C1600" s="275" t="s">
        <v>3831</v>
      </c>
      <c r="D1600" s="168" t="s">
        <v>7140</v>
      </c>
      <c r="E1600" s="168" t="s">
        <v>2308</v>
      </c>
      <c r="F1600" s="168" t="s">
        <v>4623</v>
      </c>
      <c r="G1600" s="168" t="s">
        <v>4623</v>
      </c>
      <c r="H1600" s="292" t="s">
        <v>4623</v>
      </c>
      <c r="I1600" s="293" t="s">
        <v>4623</v>
      </c>
      <c r="J1600" s="293" t="s">
        <v>4623</v>
      </c>
      <c r="K1600" s="290" t="s">
        <v>4623</v>
      </c>
      <c r="L1600" s="290" t="s">
        <v>4623</v>
      </c>
      <c r="M1600" s="290" t="s">
        <v>4623</v>
      </c>
      <c r="N1600" s="290" t="s">
        <v>4623</v>
      </c>
      <c r="O1600" s="290" t="s">
        <v>4623</v>
      </c>
      <c r="P1600" s="290" t="s">
        <v>999</v>
      </c>
      <c r="Q1600" s="291" t="s">
        <v>4623</v>
      </c>
      <c r="R1600" s="276"/>
      <c r="S1600" s="277">
        <f>IF(OR(C1600="",C1600=T$4),NA(),MATCH($B1600&amp;$C1600,'Smelter Reference List'!$J:$J,0))</f>
        <v>442</v>
      </c>
      <c r="T1600" s="278"/>
      <c r="U1600" s="278"/>
      <c r="V1600" s="278"/>
      <c r="W1600" s="278"/>
    </row>
    <row r="1601" spans="1:23" s="269" customFormat="1" ht="20.25">
      <c r="A1601" s="267"/>
      <c r="B1601" s="275" t="s">
        <v>2437</v>
      </c>
      <c r="C1601" s="275" t="s">
        <v>3831</v>
      </c>
      <c r="D1601" s="168" t="s">
        <v>7141</v>
      </c>
      <c r="E1601" s="168" t="s">
        <v>2308</v>
      </c>
      <c r="F1601" s="168" t="s">
        <v>4623</v>
      </c>
      <c r="G1601" s="168" t="s">
        <v>4623</v>
      </c>
      <c r="H1601" s="292" t="s">
        <v>4623</v>
      </c>
      <c r="I1601" s="293" t="s">
        <v>4623</v>
      </c>
      <c r="J1601" s="293" t="s">
        <v>4623</v>
      </c>
      <c r="K1601" s="290" t="s">
        <v>4623</v>
      </c>
      <c r="L1601" s="290" t="s">
        <v>4623</v>
      </c>
      <c r="M1601" s="290" t="s">
        <v>6377</v>
      </c>
      <c r="N1601" s="290" t="s">
        <v>5000</v>
      </c>
      <c r="O1601" s="290" t="s">
        <v>5000</v>
      </c>
      <c r="P1601" s="290" t="s">
        <v>999</v>
      </c>
      <c r="Q1601" s="291" t="s">
        <v>4623</v>
      </c>
      <c r="R1601" s="276"/>
      <c r="S1601" s="277">
        <f>IF(OR(C1601="",C1601=T$4),NA(),MATCH($B1601&amp;$C1601,'Smelter Reference List'!$J:$J,0))</f>
        <v>442</v>
      </c>
      <c r="T1601" s="278"/>
      <c r="U1601" s="278"/>
      <c r="V1601" s="278"/>
      <c r="W1601" s="278"/>
    </row>
    <row r="1602" spans="1:23" s="269" customFormat="1" ht="20.25">
      <c r="A1602" s="267"/>
      <c r="B1602" s="275" t="s">
        <v>2437</v>
      </c>
      <c r="C1602" s="275" t="s">
        <v>3831</v>
      </c>
      <c r="D1602" s="168" t="s">
        <v>7142</v>
      </c>
      <c r="E1602" s="168" t="s">
        <v>2308</v>
      </c>
      <c r="F1602" s="168" t="s">
        <v>4623</v>
      </c>
      <c r="G1602" s="168" t="s">
        <v>4623</v>
      </c>
      <c r="H1602" s="292" t="s">
        <v>7143</v>
      </c>
      <c r="I1602" s="293" t="s">
        <v>7144</v>
      </c>
      <c r="J1602" s="293" t="s">
        <v>4657</v>
      </c>
      <c r="K1602" s="290" t="s">
        <v>7145</v>
      </c>
      <c r="L1602" s="290" t="s">
        <v>7146</v>
      </c>
      <c r="M1602" s="290" t="s">
        <v>4623</v>
      </c>
      <c r="N1602" s="290" t="s">
        <v>4623</v>
      </c>
      <c r="O1602" s="290" t="s">
        <v>4623</v>
      </c>
      <c r="P1602" s="290" t="s">
        <v>999</v>
      </c>
      <c r="Q1602" s="291" t="s">
        <v>4623</v>
      </c>
      <c r="R1602" s="276"/>
      <c r="S1602" s="277">
        <f>IF(OR(C1602="",C1602=T$4),NA(),MATCH($B1602&amp;$C1602,'Smelter Reference List'!$J:$J,0))</f>
        <v>442</v>
      </c>
      <c r="T1602" s="278"/>
      <c r="U1602" s="278"/>
      <c r="V1602" s="278"/>
      <c r="W1602" s="278"/>
    </row>
    <row r="1603" spans="1:23" s="269" customFormat="1" ht="20.25">
      <c r="A1603" s="267"/>
      <c r="B1603" s="275" t="s">
        <v>2437</v>
      </c>
      <c r="C1603" s="275" t="s">
        <v>3831</v>
      </c>
      <c r="D1603" s="168" t="s">
        <v>7147</v>
      </c>
      <c r="E1603" s="168" t="s">
        <v>2308</v>
      </c>
      <c r="F1603" s="168" t="s">
        <v>4623</v>
      </c>
      <c r="G1603" s="168" t="s">
        <v>4623</v>
      </c>
      <c r="H1603" s="292" t="s">
        <v>7148</v>
      </c>
      <c r="I1603" s="293" t="s">
        <v>7149</v>
      </c>
      <c r="J1603" s="293" t="s">
        <v>4623</v>
      </c>
      <c r="K1603" s="290" t="s">
        <v>7150</v>
      </c>
      <c r="L1603" s="290" t="s">
        <v>7151</v>
      </c>
      <c r="M1603" s="290" t="s">
        <v>4623</v>
      </c>
      <c r="N1603" s="290" t="s">
        <v>4623</v>
      </c>
      <c r="O1603" s="290" t="s">
        <v>4623</v>
      </c>
      <c r="P1603" s="290" t="s">
        <v>999</v>
      </c>
      <c r="Q1603" s="291" t="s">
        <v>4623</v>
      </c>
      <c r="R1603" s="276"/>
      <c r="S1603" s="277">
        <f>IF(OR(C1603="",C1603=T$4),NA(),MATCH($B1603&amp;$C1603,'Smelter Reference List'!$J:$J,0))</f>
        <v>442</v>
      </c>
      <c r="T1603" s="278"/>
      <c r="U1603" s="278"/>
      <c r="V1603" s="278"/>
      <c r="W1603" s="278"/>
    </row>
    <row r="1604" spans="1:23" s="269" customFormat="1" ht="20.25">
      <c r="A1604" s="267"/>
      <c r="B1604" s="275" t="s">
        <v>2437</v>
      </c>
      <c r="C1604" s="275" t="s">
        <v>3831</v>
      </c>
      <c r="D1604" s="168" t="s">
        <v>7152</v>
      </c>
      <c r="E1604" s="168" t="s">
        <v>2308</v>
      </c>
      <c r="F1604" s="168" t="s">
        <v>4623</v>
      </c>
      <c r="G1604" s="168" t="s">
        <v>4623</v>
      </c>
      <c r="H1604" s="292" t="s">
        <v>7153</v>
      </c>
      <c r="I1604" s="293" t="s">
        <v>7154</v>
      </c>
      <c r="J1604" s="293" t="s">
        <v>7155</v>
      </c>
      <c r="K1604" s="290" t="s">
        <v>4623</v>
      </c>
      <c r="L1604" s="290" t="s">
        <v>7156</v>
      </c>
      <c r="M1604" s="290" t="s">
        <v>4623</v>
      </c>
      <c r="N1604" s="290" t="s">
        <v>4623</v>
      </c>
      <c r="O1604" s="290" t="s">
        <v>4623</v>
      </c>
      <c r="P1604" s="290" t="s">
        <v>999</v>
      </c>
      <c r="Q1604" s="291" t="s">
        <v>4623</v>
      </c>
      <c r="R1604" s="276"/>
      <c r="S1604" s="277">
        <f>IF(OR(C1604="",C1604=T$4),NA(),MATCH($B1604&amp;$C1604,'Smelter Reference List'!$J:$J,0))</f>
        <v>442</v>
      </c>
      <c r="T1604" s="278"/>
      <c r="U1604" s="278"/>
      <c r="V1604" s="278"/>
      <c r="W1604" s="278"/>
    </row>
    <row r="1605" spans="1:23" s="269" customFormat="1" ht="20.25">
      <c r="A1605" s="267"/>
      <c r="B1605" s="275" t="s">
        <v>2437</v>
      </c>
      <c r="C1605" s="275" t="s">
        <v>3831</v>
      </c>
      <c r="D1605" s="168" t="s">
        <v>7157</v>
      </c>
      <c r="E1605" s="168" t="s">
        <v>2308</v>
      </c>
      <c r="F1605" s="168" t="s">
        <v>4623</v>
      </c>
      <c r="G1605" s="168" t="s">
        <v>4623</v>
      </c>
      <c r="H1605" s="292" t="s">
        <v>4623</v>
      </c>
      <c r="I1605" s="293" t="s">
        <v>4623</v>
      </c>
      <c r="J1605" s="293" t="s">
        <v>4623</v>
      </c>
      <c r="K1605" s="290" t="s">
        <v>4623</v>
      </c>
      <c r="L1605" s="290" t="s">
        <v>4623</v>
      </c>
      <c r="M1605" s="290" t="s">
        <v>4623</v>
      </c>
      <c r="N1605" s="290" t="s">
        <v>4623</v>
      </c>
      <c r="O1605" s="290" t="s">
        <v>4623</v>
      </c>
      <c r="P1605" s="290" t="s">
        <v>999</v>
      </c>
      <c r="Q1605" s="291" t="s">
        <v>4623</v>
      </c>
      <c r="R1605" s="276"/>
      <c r="S1605" s="277">
        <f>IF(OR(C1605="",C1605=T$4),NA(),MATCH($B1605&amp;$C1605,'Smelter Reference List'!$J:$J,0))</f>
        <v>442</v>
      </c>
      <c r="T1605" s="278"/>
      <c r="U1605" s="278"/>
      <c r="V1605" s="278"/>
      <c r="W1605" s="278"/>
    </row>
    <row r="1606" spans="1:23" s="269" customFormat="1" ht="20.25">
      <c r="A1606" s="267"/>
      <c r="B1606" s="275" t="s">
        <v>2437</v>
      </c>
      <c r="C1606" s="275" t="s">
        <v>3831</v>
      </c>
      <c r="D1606" s="168" t="s">
        <v>7158</v>
      </c>
      <c r="E1606" s="168" t="s">
        <v>2308</v>
      </c>
      <c r="F1606" s="168" t="s">
        <v>4623</v>
      </c>
      <c r="G1606" s="168" t="s">
        <v>4623</v>
      </c>
      <c r="H1606" s="292" t="s">
        <v>4623</v>
      </c>
      <c r="I1606" s="293" t="s">
        <v>4623</v>
      </c>
      <c r="J1606" s="293" t="s">
        <v>4623</v>
      </c>
      <c r="K1606" s="290" t="s">
        <v>4623</v>
      </c>
      <c r="L1606" s="290" t="s">
        <v>4623</v>
      </c>
      <c r="M1606" s="290" t="s">
        <v>4623</v>
      </c>
      <c r="N1606" s="290" t="s">
        <v>4623</v>
      </c>
      <c r="O1606" s="290" t="s">
        <v>4623</v>
      </c>
      <c r="P1606" s="290" t="s">
        <v>999</v>
      </c>
      <c r="Q1606" s="291" t="s">
        <v>4623</v>
      </c>
      <c r="R1606" s="276"/>
      <c r="S1606" s="277">
        <f>IF(OR(C1606="",C1606=T$4),NA(),MATCH($B1606&amp;$C1606,'Smelter Reference List'!$J:$J,0))</f>
        <v>442</v>
      </c>
      <c r="T1606" s="278"/>
      <c r="U1606" s="278"/>
      <c r="V1606" s="278"/>
      <c r="W1606" s="278"/>
    </row>
    <row r="1607" spans="1:23" s="269" customFormat="1" ht="20.25">
      <c r="A1607" s="267"/>
      <c r="B1607" s="275" t="s">
        <v>2437</v>
      </c>
      <c r="C1607" s="275" t="s">
        <v>3831</v>
      </c>
      <c r="D1607" s="168" t="s">
        <v>7159</v>
      </c>
      <c r="E1607" s="168" t="s">
        <v>2308</v>
      </c>
      <c r="F1607" s="168" t="s">
        <v>4623</v>
      </c>
      <c r="G1607" s="168" t="s">
        <v>4623</v>
      </c>
      <c r="H1607" s="292" t="s">
        <v>4623</v>
      </c>
      <c r="I1607" s="293" t="s">
        <v>4623</v>
      </c>
      <c r="J1607" s="293" t="s">
        <v>4623</v>
      </c>
      <c r="K1607" s="290" t="s">
        <v>4623</v>
      </c>
      <c r="L1607" s="290" t="s">
        <v>4623</v>
      </c>
      <c r="M1607" s="290" t="s">
        <v>4623</v>
      </c>
      <c r="N1607" s="290" t="s">
        <v>4623</v>
      </c>
      <c r="O1607" s="290" t="s">
        <v>4623</v>
      </c>
      <c r="P1607" s="290" t="s">
        <v>999</v>
      </c>
      <c r="Q1607" s="291" t="s">
        <v>4623</v>
      </c>
      <c r="R1607" s="276"/>
      <c r="S1607" s="277">
        <f>IF(OR(C1607="",C1607=T$4),NA(),MATCH($B1607&amp;$C1607,'Smelter Reference List'!$J:$J,0))</f>
        <v>442</v>
      </c>
      <c r="T1607" s="278"/>
      <c r="U1607" s="278"/>
      <c r="V1607" s="278"/>
      <c r="W1607" s="278"/>
    </row>
    <row r="1608" spans="1:23" s="269" customFormat="1" ht="20.25">
      <c r="A1608" s="267"/>
      <c r="B1608" s="275" t="s">
        <v>2437</v>
      </c>
      <c r="C1608" s="275" t="s">
        <v>3831</v>
      </c>
      <c r="D1608" s="168" t="s">
        <v>7160</v>
      </c>
      <c r="E1608" s="168" t="s">
        <v>2308</v>
      </c>
      <c r="F1608" s="168" t="s">
        <v>4623</v>
      </c>
      <c r="G1608" s="168" t="s">
        <v>4623</v>
      </c>
      <c r="H1608" s="292" t="s">
        <v>4623</v>
      </c>
      <c r="I1608" s="293" t="s">
        <v>4623</v>
      </c>
      <c r="J1608" s="293" t="s">
        <v>4623</v>
      </c>
      <c r="K1608" s="290" t="s">
        <v>4623</v>
      </c>
      <c r="L1608" s="290" t="s">
        <v>4623</v>
      </c>
      <c r="M1608" s="290" t="s">
        <v>4623</v>
      </c>
      <c r="N1608" s="290" t="s">
        <v>4623</v>
      </c>
      <c r="O1608" s="290" t="s">
        <v>4623</v>
      </c>
      <c r="P1608" s="290" t="s">
        <v>999</v>
      </c>
      <c r="Q1608" s="291" t="s">
        <v>4623</v>
      </c>
      <c r="R1608" s="276"/>
      <c r="S1608" s="277">
        <f>IF(OR(C1608="",C1608=T$4),NA(),MATCH($B1608&amp;$C1608,'Smelter Reference List'!$J:$J,0))</f>
        <v>442</v>
      </c>
      <c r="T1608" s="278"/>
      <c r="U1608" s="278"/>
      <c r="V1608" s="278"/>
      <c r="W1608" s="278"/>
    </row>
    <row r="1609" spans="1:23" s="269" customFormat="1" ht="20.25">
      <c r="A1609" s="267"/>
      <c r="B1609" s="275" t="s">
        <v>2437</v>
      </c>
      <c r="C1609" s="275" t="s">
        <v>3831</v>
      </c>
      <c r="D1609" s="168" t="s">
        <v>7161</v>
      </c>
      <c r="E1609" s="168" t="s">
        <v>2308</v>
      </c>
      <c r="F1609" s="168" t="s">
        <v>4623</v>
      </c>
      <c r="G1609" s="168" t="s">
        <v>4623</v>
      </c>
      <c r="H1609" s="292" t="s">
        <v>4623</v>
      </c>
      <c r="I1609" s="293" t="s">
        <v>4623</v>
      </c>
      <c r="J1609" s="293" t="s">
        <v>4623</v>
      </c>
      <c r="K1609" s="290" t="s">
        <v>4623</v>
      </c>
      <c r="L1609" s="290" t="s">
        <v>4623</v>
      </c>
      <c r="M1609" s="290" t="s">
        <v>4623</v>
      </c>
      <c r="N1609" s="290" t="s">
        <v>4623</v>
      </c>
      <c r="O1609" s="290" t="s">
        <v>4623</v>
      </c>
      <c r="P1609" s="290" t="s">
        <v>999</v>
      </c>
      <c r="Q1609" s="291" t="s">
        <v>4623</v>
      </c>
      <c r="R1609" s="276"/>
      <c r="S1609" s="277">
        <f>IF(OR(C1609="",C1609=T$4),NA(),MATCH($B1609&amp;$C1609,'Smelter Reference List'!$J:$J,0))</f>
        <v>442</v>
      </c>
      <c r="T1609" s="278"/>
      <c r="U1609" s="278"/>
      <c r="V1609" s="278"/>
      <c r="W1609" s="278"/>
    </row>
    <row r="1610" spans="1:23" s="269" customFormat="1" ht="20.25">
      <c r="A1610" s="267"/>
      <c r="B1610" s="275" t="s">
        <v>2437</v>
      </c>
      <c r="C1610" s="275" t="s">
        <v>3831</v>
      </c>
      <c r="D1610" s="168" t="s">
        <v>7162</v>
      </c>
      <c r="E1610" s="168" t="s">
        <v>2308</v>
      </c>
      <c r="F1610" s="168" t="s">
        <v>4623</v>
      </c>
      <c r="G1610" s="168" t="s">
        <v>4623</v>
      </c>
      <c r="H1610" s="292" t="s">
        <v>4623</v>
      </c>
      <c r="I1610" s="293" t="s">
        <v>4623</v>
      </c>
      <c r="J1610" s="293" t="s">
        <v>4623</v>
      </c>
      <c r="K1610" s="290" t="s">
        <v>4623</v>
      </c>
      <c r="L1610" s="290" t="s">
        <v>4623</v>
      </c>
      <c r="M1610" s="290" t="s">
        <v>4623</v>
      </c>
      <c r="N1610" s="290" t="s">
        <v>4623</v>
      </c>
      <c r="O1610" s="290" t="s">
        <v>4623</v>
      </c>
      <c r="P1610" s="290" t="s">
        <v>999</v>
      </c>
      <c r="Q1610" s="291" t="s">
        <v>4623</v>
      </c>
      <c r="R1610" s="276"/>
      <c r="S1610" s="277">
        <f>IF(OR(C1610="",C1610=T$4),NA(),MATCH($B1610&amp;$C1610,'Smelter Reference List'!$J:$J,0))</f>
        <v>442</v>
      </c>
      <c r="T1610" s="278"/>
      <c r="U1610" s="278"/>
      <c r="V1610" s="278"/>
      <c r="W1610" s="278"/>
    </row>
    <row r="1611" spans="1:23" s="269" customFormat="1" ht="20.25">
      <c r="A1611" s="267"/>
      <c r="B1611" s="275" t="s">
        <v>2437</v>
      </c>
      <c r="C1611" s="275" t="s">
        <v>3831</v>
      </c>
      <c r="D1611" s="168" t="s">
        <v>7163</v>
      </c>
      <c r="E1611" s="168" t="s">
        <v>2308</v>
      </c>
      <c r="F1611" s="168" t="s">
        <v>4623</v>
      </c>
      <c r="G1611" s="168" t="s">
        <v>4623</v>
      </c>
      <c r="H1611" s="292" t="s">
        <v>4623</v>
      </c>
      <c r="I1611" s="293" t="s">
        <v>4623</v>
      </c>
      <c r="J1611" s="293" t="s">
        <v>4623</v>
      </c>
      <c r="K1611" s="290" t="s">
        <v>4623</v>
      </c>
      <c r="L1611" s="290" t="s">
        <v>4623</v>
      </c>
      <c r="M1611" s="290" t="s">
        <v>4623</v>
      </c>
      <c r="N1611" s="290" t="s">
        <v>4623</v>
      </c>
      <c r="O1611" s="290" t="s">
        <v>4623</v>
      </c>
      <c r="P1611" s="290" t="s">
        <v>999</v>
      </c>
      <c r="Q1611" s="291" t="s">
        <v>4623</v>
      </c>
      <c r="R1611" s="276"/>
      <c r="S1611" s="277">
        <f>IF(OR(C1611="",C1611=T$4),NA(),MATCH($B1611&amp;$C1611,'Smelter Reference List'!$J:$J,0))</f>
        <v>442</v>
      </c>
      <c r="T1611" s="278"/>
      <c r="U1611" s="278"/>
      <c r="V1611" s="278"/>
      <c r="W1611" s="278"/>
    </row>
    <row r="1612" spans="1:23" s="269" customFormat="1" ht="20.25">
      <c r="A1612" s="267"/>
      <c r="B1612" s="275" t="s">
        <v>2437</v>
      </c>
      <c r="C1612" s="275" t="s">
        <v>3831</v>
      </c>
      <c r="D1612" s="168" t="s">
        <v>7164</v>
      </c>
      <c r="E1612" s="168" t="s">
        <v>2308</v>
      </c>
      <c r="F1612" s="168" t="s">
        <v>4623</v>
      </c>
      <c r="G1612" s="168" t="s">
        <v>4623</v>
      </c>
      <c r="H1612" s="292" t="s">
        <v>7165</v>
      </c>
      <c r="I1612" s="293" t="s">
        <v>7166</v>
      </c>
      <c r="J1612" s="293" t="s">
        <v>4623</v>
      </c>
      <c r="K1612" s="290" t="s">
        <v>4623</v>
      </c>
      <c r="L1612" s="290" t="s">
        <v>4623</v>
      </c>
      <c r="M1612" s="290" t="s">
        <v>4623</v>
      </c>
      <c r="N1612" s="290" t="s">
        <v>4623</v>
      </c>
      <c r="O1612" s="290" t="s">
        <v>4623</v>
      </c>
      <c r="P1612" s="290" t="s">
        <v>999</v>
      </c>
      <c r="Q1612" s="291" t="s">
        <v>4623</v>
      </c>
      <c r="R1612" s="276"/>
      <c r="S1612" s="277">
        <f>IF(OR(C1612="",C1612=T$4),NA(),MATCH($B1612&amp;$C1612,'Smelter Reference List'!$J:$J,0))</f>
        <v>442</v>
      </c>
      <c r="T1612" s="278"/>
      <c r="U1612" s="278"/>
      <c r="V1612" s="278"/>
      <c r="W1612" s="278"/>
    </row>
    <row r="1613" spans="1:23" s="269" customFormat="1" ht="20.25">
      <c r="A1613" s="267"/>
      <c r="B1613" s="275" t="s">
        <v>2437</v>
      </c>
      <c r="C1613" s="275" t="s">
        <v>3831</v>
      </c>
      <c r="D1613" s="168" t="s">
        <v>7167</v>
      </c>
      <c r="E1613" s="168" t="s">
        <v>2308</v>
      </c>
      <c r="F1613" s="168" t="s">
        <v>4623</v>
      </c>
      <c r="G1613" s="168" t="s">
        <v>4623</v>
      </c>
      <c r="H1613" s="292" t="s">
        <v>4623</v>
      </c>
      <c r="I1613" s="293" t="s">
        <v>4623</v>
      </c>
      <c r="J1613" s="293" t="s">
        <v>4623</v>
      </c>
      <c r="K1613" s="290" t="s">
        <v>4623</v>
      </c>
      <c r="L1613" s="290" t="s">
        <v>4623</v>
      </c>
      <c r="M1613" s="290" t="s">
        <v>4623</v>
      </c>
      <c r="N1613" s="290" t="s">
        <v>4623</v>
      </c>
      <c r="O1613" s="290" t="s">
        <v>4623</v>
      </c>
      <c r="P1613" s="290" t="s">
        <v>999</v>
      </c>
      <c r="Q1613" s="291" t="s">
        <v>4623</v>
      </c>
      <c r="R1613" s="276"/>
      <c r="S1613" s="277">
        <f>IF(OR(C1613="",C1613=T$4),NA(),MATCH($B1613&amp;$C1613,'Smelter Reference List'!$J:$J,0))</f>
        <v>442</v>
      </c>
      <c r="T1613" s="278"/>
      <c r="U1613" s="278"/>
      <c r="V1613" s="278"/>
      <c r="W1613" s="278"/>
    </row>
    <row r="1614" spans="1:23" s="269" customFormat="1" ht="20.25">
      <c r="A1614" s="267"/>
      <c r="B1614" s="275" t="s">
        <v>2437</v>
      </c>
      <c r="C1614" s="275" t="s">
        <v>3831</v>
      </c>
      <c r="D1614" s="168" t="s">
        <v>6881</v>
      </c>
      <c r="E1614" s="168" t="s">
        <v>2308</v>
      </c>
      <c r="F1614" s="168" t="s">
        <v>4623</v>
      </c>
      <c r="G1614" s="168" t="s">
        <v>4623</v>
      </c>
      <c r="H1614" s="292" t="s">
        <v>7168</v>
      </c>
      <c r="I1614" s="293" t="s">
        <v>7169</v>
      </c>
      <c r="J1614" s="293" t="s">
        <v>7169</v>
      </c>
      <c r="K1614" s="290" t="s">
        <v>7170</v>
      </c>
      <c r="L1614" s="290" t="s">
        <v>7171</v>
      </c>
      <c r="M1614" s="290" t="s">
        <v>4623</v>
      </c>
      <c r="N1614" s="290" t="s">
        <v>4623</v>
      </c>
      <c r="O1614" s="290" t="s">
        <v>4623</v>
      </c>
      <c r="P1614" s="290" t="s">
        <v>999</v>
      </c>
      <c r="Q1614" s="291" t="s">
        <v>4623</v>
      </c>
      <c r="R1614" s="276"/>
      <c r="S1614" s="277">
        <f>IF(OR(C1614="",C1614=T$4),NA(),MATCH($B1614&amp;$C1614,'Smelter Reference List'!$J:$J,0))</f>
        <v>442</v>
      </c>
      <c r="T1614" s="278"/>
      <c r="U1614" s="278"/>
      <c r="V1614" s="278"/>
      <c r="W1614" s="278"/>
    </row>
    <row r="1615" spans="1:23" s="269" customFormat="1" ht="20.25">
      <c r="A1615" s="267"/>
      <c r="B1615" s="275" t="s">
        <v>2437</v>
      </c>
      <c r="C1615" s="275" t="s">
        <v>3831</v>
      </c>
      <c r="D1615" s="168" t="s">
        <v>7172</v>
      </c>
      <c r="E1615" s="168" t="s">
        <v>2308</v>
      </c>
      <c r="F1615" s="168" t="s">
        <v>4623</v>
      </c>
      <c r="G1615" s="168" t="s">
        <v>4623</v>
      </c>
      <c r="H1615" s="292" t="s">
        <v>7173</v>
      </c>
      <c r="I1615" s="293" t="s">
        <v>7174</v>
      </c>
      <c r="J1615" s="293" t="s">
        <v>4623</v>
      </c>
      <c r="K1615" s="290" t="s">
        <v>4623</v>
      </c>
      <c r="L1615" s="290" t="s">
        <v>4623</v>
      </c>
      <c r="M1615" s="290" t="s">
        <v>4623</v>
      </c>
      <c r="N1615" s="290" t="s">
        <v>4623</v>
      </c>
      <c r="O1615" s="290" t="s">
        <v>4623</v>
      </c>
      <c r="P1615" s="290" t="s">
        <v>999</v>
      </c>
      <c r="Q1615" s="291" t="s">
        <v>4623</v>
      </c>
      <c r="R1615" s="276"/>
      <c r="S1615" s="277">
        <f>IF(OR(C1615="",C1615=T$4),NA(),MATCH($B1615&amp;$C1615,'Smelter Reference List'!$J:$J,0))</f>
        <v>442</v>
      </c>
      <c r="T1615" s="278"/>
      <c r="U1615" s="278"/>
      <c r="V1615" s="278"/>
      <c r="W1615" s="278"/>
    </row>
    <row r="1616" spans="1:23" s="269" customFormat="1" ht="20.25">
      <c r="A1616" s="267"/>
      <c r="B1616" s="275" t="s">
        <v>2437</v>
      </c>
      <c r="C1616" s="275" t="s">
        <v>3831</v>
      </c>
      <c r="D1616" s="168" t="s">
        <v>7175</v>
      </c>
      <c r="E1616" s="168" t="s">
        <v>2308</v>
      </c>
      <c r="F1616" s="168" t="s">
        <v>4623</v>
      </c>
      <c r="G1616" s="168" t="s">
        <v>4623</v>
      </c>
      <c r="H1616" s="292" t="s">
        <v>7176</v>
      </c>
      <c r="I1616" s="293" t="s">
        <v>3396</v>
      </c>
      <c r="J1616" s="293" t="s">
        <v>7177</v>
      </c>
      <c r="K1616" s="290" t="s">
        <v>4623</v>
      </c>
      <c r="L1616" s="290" t="s">
        <v>4623</v>
      </c>
      <c r="M1616" s="290" t="s">
        <v>4623</v>
      </c>
      <c r="N1616" s="290" t="s">
        <v>4623</v>
      </c>
      <c r="O1616" s="290" t="s">
        <v>4623</v>
      </c>
      <c r="P1616" s="290" t="s">
        <v>999</v>
      </c>
      <c r="Q1616" s="291" t="s">
        <v>4623</v>
      </c>
      <c r="R1616" s="276"/>
      <c r="S1616" s="277">
        <f>IF(OR(C1616="",C1616=T$4),NA(),MATCH($B1616&amp;$C1616,'Smelter Reference List'!$J:$J,0))</f>
        <v>442</v>
      </c>
      <c r="T1616" s="278"/>
      <c r="U1616" s="278"/>
      <c r="V1616" s="278"/>
      <c r="W1616" s="278"/>
    </row>
    <row r="1617" spans="1:23" s="269" customFormat="1" ht="20.25">
      <c r="A1617" s="267"/>
      <c r="B1617" s="275" t="s">
        <v>2437</v>
      </c>
      <c r="C1617" s="275" t="s">
        <v>3831</v>
      </c>
      <c r="D1617" s="168" t="s">
        <v>7178</v>
      </c>
      <c r="E1617" s="168" t="s">
        <v>2308</v>
      </c>
      <c r="F1617" s="168" t="s">
        <v>4623</v>
      </c>
      <c r="G1617" s="168" t="s">
        <v>4623</v>
      </c>
      <c r="H1617" s="292" t="s">
        <v>7179</v>
      </c>
      <c r="I1617" s="293" t="s">
        <v>7180</v>
      </c>
      <c r="J1617" s="293" t="s">
        <v>4623</v>
      </c>
      <c r="K1617" s="290" t="s">
        <v>4623</v>
      </c>
      <c r="L1617" s="290" t="s">
        <v>4623</v>
      </c>
      <c r="M1617" s="290" t="s">
        <v>4623</v>
      </c>
      <c r="N1617" s="290" t="s">
        <v>4623</v>
      </c>
      <c r="O1617" s="290" t="s">
        <v>4623</v>
      </c>
      <c r="P1617" s="290" t="s">
        <v>999</v>
      </c>
      <c r="Q1617" s="291" t="s">
        <v>4623</v>
      </c>
      <c r="R1617" s="276"/>
      <c r="S1617" s="277">
        <f>IF(OR(C1617="",C1617=T$4),NA(),MATCH($B1617&amp;$C1617,'Smelter Reference List'!$J:$J,0))</f>
        <v>442</v>
      </c>
      <c r="T1617" s="278"/>
      <c r="U1617" s="278"/>
      <c r="V1617" s="278"/>
      <c r="W1617" s="278"/>
    </row>
    <row r="1618" spans="1:23" s="269" customFormat="1" ht="20.25">
      <c r="A1618" s="267"/>
      <c r="B1618" s="275" t="s">
        <v>2437</v>
      </c>
      <c r="C1618" s="275" t="s">
        <v>3831</v>
      </c>
      <c r="D1618" s="168" t="s">
        <v>7181</v>
      </c>
      <c r="E1618" s="168" t="s">
        <v>2308</v>
      </c>
      <c r="F1618" s="168" t="s">
        <v>4623</v>
      </c>
      <c r="G1618" s="168" t="s">
        <v>4623</v>
      </c>
      <c r="H1618" s="292" t="s">
        <v>7182</v>
      </c>
      <c r="I1618" s="293" t="s">
        <v>7183</v>
      </c>
      <c r="J1618" s="293" t="s">
        <v>4623</v>
      </c>
      <c r="K1618" s="290" t="s">
        <v>4623</v>
      </c>
      <c r="L1618" s="290" t="s">
        <v>4623</v>
      </c>
      <c r="M1618" s="290" t="s">
        <v>4623</v>
      </c>
      <c r="N1618" s="290" t="s">
        <v>4623</v>
      </c>
      <c r="O1618" s="290" t="s">
        <v>4623</v>
      </c>
      <c r="P1618" s="290" t="s">
        <v>999</v>
      </c>
      <c r="Q1618" s="291" t="s">
        <v>7184</v>
      </c>
      <c r="R1618" s="276"/>
      <c r="S1618" s="277">
        <f>IF(OR(C1618="",C1618=T$4),NA(),MATCH($B1618&amp;$C1618,'Smelter Reference List'!$J:$J,0))</f>
        <v>442</v>
      </c>
      <c r="T1618" s="278"/>
      <c r="U1618" s="278"/>
      <c r="V1618" s="278"/>
      <c r="W1618" s="278"/>
    </row>
    <row r="1619" spans="1:23" s="269" customFormat="1" ht="20.25">
      <c r="A1619" s="267"/>
      <c r="B1619" s="275" t="s">
        <v>2437</v>
      </c>
      <c r="C1619" s="275" t="s">
        <v>3831</v>
      </c>
      <c r="D1619" s="168" t="s">
        <v>7185</v>
      </c>
      <c r="E1619" s="168" t="s">
        <v>2308</v>
      </c>
      <c r="F1619" s="168" t="s">
        <v>4623</v>
      </c>
      <c r="G1619" s="168" t="s">
        <v>4623</v>
      </c>
      <c r="H1619" s="292" t="s">
        <v>7186</v>
      </c>
      <c r="I1619" s="293" t="s">
        <v>7187</v>
      </c>
      <c r="J1619" s="293" t="s">
        <v>7188</v>
      </c>
      <c r="K1619" s="290" t="s">
        <v>7189</v>
      </c>
      <c r="L1619" s="290" t="s">
        <v>7190</v>
      </c>
      <c r="M1619" s="290" t="s">
        <v>1005</v>
      </c>
      <c r="N1619" s="290" t="s">
        <v>6193</v>
      </c>
      <c r="O1619" s="290" t="s">
        <v>4644</v>
      </c>
      <c r="P1619" s="290" t="s">
        <v>999</v>
      </c>
      <c r="Q1619" s="291" t="s">
        <v>4623</v>
      </c>
      <c r="R1619" s="276"/>
      <c r="S1619" s="277">
        <f>IF(OR(C1619="",C1619=T$4),NA(),MATCH($B1619&amp;$C1619,'Smelter Reference List'!$J:$J,0))</f>
        <v>442</v>
      </c>
      <c r="T1619" s="278"/>
      <c r="U1619" s="278"/>
      <c r="V1619" s="278"/>
      <c r="W1619" s="278"/>
    </row>
    <row r="1620" spans="1:23" s="269" customFormat="1" ht="20.25">
      <c r="A1620" s="267"/>
      <c r="B1620" s="275" t="s">
        <v>2437</v>
      </c>
      <c r="C1620" s="275" t="s">
        <v>3831</v>
      </c>
      <c r="D1620" s="168" t="s">
        <v>7191</v>
      </c>
      <c r="E1620" s="168" t="s">
        <v>2308</v>
      </c>
      <c r="F1620" s="168" t="s">
        <v>4623</v>
      </c>
      <c r="G1620" s="168" t="s">
        <v>4623</v>
      </c>
      <c r="H1620" s="292" t="s">
        <v>4623</v>
      </c>
      <c r="I1620" s="293" t="s">
        <v>4623</v>
      </c>
      <c r="J1620" s="293" t="s">
        <v>4623</v>
      </c>
      <c r="K1620" s="290" t="s">
        <v>4623</v>
      </c>
      <c r="L1620" s="290" t="s">
        <v>4623</v>
      </c>
      <c r="M1620" s="290" t="s">
        <v>4623</v>
      </c>
      <c r="N1620" s="290" t="s">
        <v>4623</v>
      </c>
      <c r="O1620" s="290" t="s">
        <v>4623</v>
      </c>
      <c r="P1620" s="290" t="s">
        <v>999</v>
      </c>
      <c r="Q1620" s="291" t="s">
        <v>7192</v>
      </c>
      <c r="R1620" s="276"/>
      <c r="S1620" s="277">
        <f>IF(OR(C1620="",C1620=T$4),NA(),MATCH($B1620&amp;$C1620,'Smelter Reference List'!$J:$J,0))</f>
        <v>442</v>
      </c>
      <c r="T1620" s="278"/>
      <c r="U1620" s="278"/>
      <c r="V1620" s="278"/>
      <c r="W1620" s="278"/>
    </row>
    <row r="1621" spans="1:23" s="269" customFormat="1" ht="20.25">
      <c r="A1621" s="267"/>
      <c r="B1621" s="275" t="s">
        <v>2437</v>
      </c>
      <c r="C1621" s="275" t="s">
        <v>3831</v>
      </c>
      <c r="D1621" s="168" t="s">
        <v>7193</v>
      </c>
      <c r="E1621" s="168" t="s">
        <v>2308</v>
      </c>
      <c r="F1621" s="168" t="s">
        <v>4623</v>
      </c>
      <c r="G1621" s="168" t="s">
        <v>4623</v>
      </c>
      <c r="H1621" s="292" t="s">
        <v>4623</v>
      </c>
      <c r="I1621" s="293" t="s">
        <v>4623</v>
      </c>
      <c r="J1621" s="293" t="s">
        <v>4623</v>
      </c>
      <c r="K1621" s="290" t="s">
        <v>4623</v>
      </c>
      <c r="L1621" s="290" t="s">
        <v>4623</v>
      </c>
      <c r="M1621" s="290" t="s">
        <v>4623</v>
      </c>
      <c r="N1621" s="290" t="s">
        <v>4623</v>
      </c>
      <c r="O1621" s="290" t="s">
        <v>4623</v>
      </c>
      <c r="P1621" s="290" t="s">
        <v>999</v>
      </c>
      <c r="Q1621" s="291" t="s">
        <v>4623</v>
      </c>
      <c r="R1621" s="276"/>
      <c r="S1621" s="277">
        <f>IF(OR(C1621="",C1621=T$4),NA(),MATCH($B1621&amp;$C1621,'Smelter Reference List'!$J:$J,0))</f>
        <v>442</v>
      </c>
      <c r="T1621" s="278"/>
      <c r="U1621" s="278"/>
      <c r="V1621" s="278"/>
      <c r="W1621" s="278"/>
    </row>
    <row r="1622" spans="1:23" s="269" customFormat="1" ht="20.25">
      <c r="A1622" s="267"/>
      <c r="B1622" s="275" t="s">
        <v>2437</v>
      </c>
      <c r="C1622" s="275" t="s">
        <v>3831</v>
      </c>
      <c r="D1622" s="168" t="s">
        <v>7194</v>
      </c>
      <c r="E1622" s="168" t="s">
        <v>2308</v>
      </c>
      <c r="F1622" s="168" t="s">
        <v>4623</v>
      </c>
      <c r="G1622" s="168" t="s">
        <v>4623</v>
      </c>
      <c r="H1622" s="292" t="s">
        <v>4623</v>
      </c>
      <c r="I1622" s="293" t="s">
        <v>4623</v>
      </c>
      <c r="J1622" s="293" t="s">
        <v>4623</v>
      </c>
      <c r="K1622" s="290" t="s">
        <v>4623</v>
      </c>
      <c r="L1622" s="290" t="s">
        <v>4623</v>
      </c>
      <c r="M1622" s="290" t="s">
        <v>4623</v>
      </c>
      <c r="N1622" s="290" t="s">
        <v>4623</v>
      </c>
      <c r="O1622" s="290" t="s">
        <v>4623</v>
      </c>
      <c r="P1622" s="290" t="s">
        <v>999</v>
      </c>
      <c r="Q1622" s="291" t="s">
        <v>4623</v>
      </c>
      <c r="R1622" s="276"/>
      <c r="S1622" s="277">
        <f>IF(OR(C1622="",C1622=T$4),NA(),MATCH($B1622&amp;$C1622,'Smelter Reference List'!$J:$J,0))</f>
        <v>442</v>
      </c>
      <c r="T1622" s="278"/>
      <c r="U1622" s="278"/>
      <c r="V1622" s="278"/>
      <c r="W1622" s="278"/>
    </row>
    <row r="1623" spans="1:23" s="269" customFormat="1" ht="20.25">
      <c r="A1623" s="267"/>
      <c r="B1623" s="275" t="s">
        <v>2437</v>
      </c>
      <c r="C1623" s="275" t="s">
        <v>3831</v>
      </c>
      <c r="D1623" s="168" t="s">
        <v>7195</v>
      </c>
      <c r="E1623" s="168" t="s">
        <v>2308</v>
      </c>
      <c r="F1623" s="168" t="s">
        <v>4623</v>
      </c>
      <c r="G1623" s="168" t="s">
        <v>4623</v>
      </c>
      <c r="H1623" s="292" t="s">
        <v>4623</v>
      </c>
      <c r="I1623" s="293" t="s">
        <v>4623</v>
      </c>
      <c r="J1623" s="293" t="s">
        <v>4623</v>
      </c>
      <c r="K1623" s="290" t="s">
        <v>4623</v>
      </c>
      <c r="L1623" s="290" t="s">
        <v>4623</v>
      </c>
      <c r="M1623" s="290" t="s">
        <v>4623</v>
      </c>
      <c r="N1623" s="290" t="s">
        <v>4623</v>
      </c>
      <c r="O1623" s="290" t="s">
        <v>4623</v>
      </c>
      <c r="P1623" s="290" t="s">
        <v>999</v>
      </c>
      <c r="Q1623" s="291" t="s">
        <v>4623</v>
      </c>
      <c r="R1623" s="276"/>
      <c r="S1623" s="277">
        <f>IF(OR(C1623="",C1623=T$4),NA(),MATCH($B1623&amp;$C1623,'Smelter Reference List'!$J:$J,0))</f>
        <v>442</v>
      </c>
      <c r="T1623" s="278"/>
      <c r="U1623" s="278"/>
      <c r="V1623" s="278"/>
      <c r="W1623" s="278"/>
    </row>
    <row r="1624" spans="1:23" s="269" customFormat="1" ht="20.25">
      <c r="A1624" s="267"/>
      <c r="B1624" s="275" t="s">
        <v>2437</v>
      </c>
      <c r="C1624" s="275" t="s">
        <v>3831</v>
      </c>
      <c r="D1624" s="168" t="s">
        <v>5472</v>
      </c>
      <c r="E1624" s="168" t="s">
        <v>2308</v>
      </c>
      <c r="F1624" s="168" t="s">
        <v>4623</v>
      </c>
      <c r="G1624" s="168" t="s">
        <v>4623</v>
      </c>
      <c r="H1624" s="292" t="s">
        <v>4623</v>
      </c>
      <c r="I1624" s="293" t="s">
        <v>4623</v>
      </c>
      <c r="J1624" s="293" t="s">
        <v>4623</v>
      </c>
      <c r="K1624" s="290" t="s">
        <v>4623</v>
      </c>
      <c r="L1624" s="290" t="s">
        <v>7196</v>
      </c>
      <c r="M1624" s="290" t="s">
        <v>4623</v>
      </c>
      <c r="N1624" s="290" t="s">
        <v>4623</v>
      </c>
      <c r="O1624" s="290" t="s">
        <v>4623</v>
      </c>
      <c r="P1624" s="290" t="s">
        <v>999</v>
      </c>
      <c r="Q1624" s="291" t="s">
        <v>4623</v>
      </c>
      <c r="R1624" s="276"/>
      <c r="S1624" s="277">
        <f>IF(OR(C1624="",C1624=T$4),NA(),MATCH($B1624&amp;$C1624,'Smelter Reference List'!$J:$J,0))</f>
        <v>442</v>
      </c>
      <c r="T1624" s="278"/>
      <c r="U1624" s="278"/>
      <c r="V1624" s="278"/>
      <c r="W1624" s="278"/>
    </row>
    <row r="1625" spans="1:23" s="269" customFormat="1" ht="20.25">
      <c r="A1625" s="267"/>
      <c r="B1625" s="275" t="s">
        <v>2437</v>
      </c>
      <c r="C1625" s="275" t="s">
        <v>3831</v>
      </c>
      <c r="D1625" s="168" t="s">
        <v>7197</v>
      </c>
      <c r="E1625" s="168" t="s">
        <v>2345</v>
      </c>
      <c r="F1625" s="168" t="s">
        <v>4623</v>
      </c>
      <c r="G1625" s="168" t="s">
        <v>4623</v>
      </c>
      <c r="H1625" s="292" t="s">
        <v>4623</v>
      </c>
      <c r="I1625" s="293" t="s">
        <v>4623</v>
      </c>
      <c r="J1625" s="293" t="s">
        <v>4623</v>
      </c>
      <c r="K1625" s="290" t="s">
        <v>4623</v>
      </c>
      <c r="L1625" s="290" t="s">
        <v>4623</v>
      </c>
      <c r="M1625" s="290" t="s">
        <v>4623</v>
      </c>
      <c r="N1625" s="290" t="s">
        <v>4623</v>
      </c>
      <c r="O1625" s="290" t="s">
        <v>4623</v>
      </c>
      <c r="P1625" s="290" t="s">
        <v>999</v>
      </c>
      <c r="Q1625" s="291" t="s">
        <v>4623</v>
      </c>
      <c r="R1625" s="276"/>
      <c r="S1625" s="277">
        <f>IF(OR(C1625="",C1625=T$4),NA(),MATCH($B1625&amp;$C1625,'Smelter Reference List'!$J:$J,0))</f>
        <v>442</v>
      </c>
      <c r="T1625" s="278"/>
      <c r="U1625" s="278"/>
      <c r="V1625" s="278"/>
      <c r="W1625" s="278"/>
    </row>
    <row r="1626" spans="1:23" s="269" customFormat="1" ht="20.25">
      <c r="A1626" s="267"/>
      <c r="B1626" s="275" t="s">
        <v>2437</v>
      </c>
      <c r="C1626" s="275" t="s">
        <v>3831</v>
      </c>
      <c r="D1626" s="168" t="s">
        <v>5493</v>
      </c>
      <c r="E1626" s="168" t="s">
        <v>2345</v>
      </c>
      <c r="F1626" s="168" t="s">
        <v>4623</v>
      </c>
      <c r="G1626" s="168" t="s">
        <v>4623</v>
      </c>
      <c r="H1626" s="292" t="s">
        <v>5487</v>
      </c>
      <c r="I1626" s="293" t="s">
        <v>5488</v>
      </c>
      <c r="J1626" s="293" t="s">
        <v>7198</v>
      </c>
      <c r="K1626" s="290" t="s">
        <v>7199</v>
      </c>
      <c r="L1626" s="290" t="s">
        <v>7200</v>
      </c>
      <c r="M1626" s="290" t="s">
        <v>4623</v>
      </c>
      <c r="N1626" s="290" t="s">
        <v>4623</v>
      </c>
      <c r="O1626" s="290" t="s">
        <v>4623</v>
      </c>
      <c r="P1626" s="290" t="s">
        <v>999</v>
      </c>
      <c r="Q1626" s="291" t="s">
        <v>4623</v>
      </c>
      <c r="R1626" s="276"/>
      <c r="S1626" s="277">
        <f>IF(OR(C1626="",C1626=T$4),NA(),MATCH($B1626&amp;$C1626,'Smelter Reference List'!$J:$J,0))</f>
        <v>442</v>
      </c>
      <c r="T1626" s="278"/>
      <c r="U1626" s="278"/>
      <c r="V1626" s="278"/>
      <c r="W1626" s="278"/>
    </row>
    <row r="1627" spans="1:23" s="269" customFormat="1" ht="20.25">
      <c r="A1627" s="267"/>
      <c r="B1627" s="275" t="s">
        <v>2437</v>
      </c>
      <c r="C1627" s="275" t="s">
        <v>3831</v>
      </c>
      <c r="D1627" s="168" t="s">
        <v>7201</v>
      </c>
      <c r="E1627" s="168" t="s">
        <v>2352</v>
      </c>
      <c r="F1627" s="168" t="s">
        <v>4623</v>
      </c>
      <c r="G1627" s="168" t="s">
        <v>4623</v>
      </c>
      <c r="H1627" s="292" t="s">
        <v>4623</v>
      </c>
      <c r="I1627" s="293" t="s">
        <v>4623</v>
      </c>
      <c r="J1627" s="293" t="s">
        <v>4623</v>
      </c>
      <c r="K1627" s="290" t="s">
        <v>4623</v>
      </c>
      <c r="L1627" s="290" t="s">
        <v>4623</v>
      </c>
      <c r="M1627" s="290" t="s">
        <v>4623</v>
      </c>
      <c r="N1627" s="290" t="s">
        <v>4623</v>
      </c>
      <c r="O1627" s="290" t="s">
        <v>4623</v>
      </c>
      <c r="P1627" s="290" t="s">
        <v>999</v>
      </c>
      <c r="Q1627" s="291" t="s">
        <v>4623</v>
      </c>
      <c r="R1627" s="276"/>
      <c r="S1627" s="277">
        <f>IF(OR(C1627="",C1627=T$4),NA(),MATCH($B1627&amp;$C1627,'Smelter Reference List'!$J:$J,0))</f>
        <v>442</v>
      </c>
      <c r="T1627" s="278"/>
      <c r="U1627" s="278"/>
      <c r="V1627" s="278"/>
      <c r="W1627" s="278"/>
    </row>
    <row r="1628" spans="1:23" s="269" customFormat="1" ht="20.25">
      <c r="A1628" s="267"/>
      <c r="B1628" s="275" t="s">
        <v>2437</v>
      </c>
      <c r="C1628" s="275" t="s">
        <v>3831</v>
      </c>
      <c r="D1628" s="168" t="s">
        <v>7202</v>
      </c>
      <c r="E1628" s="168" t="s">
        <v>2352</v>
      </c>
      <c r="F1628" s="168" t="s">
        <v>4623</v>
      </c>
      <c r="G1628" s="168" t="s">
        <v>4623</v>
      </c>
      <c r="H1628" s="292" t="s">
        <v>4623</v>
      </c>
      <c r="I1628" s="293" t="s">
        <v>4623</v>
      </c>
      <c r="J1628" s="293" t="s">
        <v>4623</v>
      </c>
      <c r="K1628" s="290" t="s">
        <v>4623</v>
      </c>
      <c r="L1628" s="290" t="s">
        <v>4623</v>
      </c>
      <c r="M1628" s="290" t="s">
        <v>4623</v>
      </c>
      <c r="N1628" s="290" t="s">
        <v>4623</v>
      </c>
      <c r="O1628" s="290" t="s">
        <v>4623</v>
      </c>
      <c r="P1628" s="290" t="s">
        <v>999</v>
      </c>
      <c r="Q1628" s="291" t="s">
        <v>4623</v>
      </c>
      <c r="R1628" s="276"/>
      <c r="S1628" s="277">
        <f>IF(OR(C1628="",C1628=T$4),NA(),MATCH($B1628&amp;$C1628,'Smelter Reference List'!$J:$J,0))</f>
        <v>442</v>
      </c>
      <c r="T1628" s="278"/>
      <c r="U1628" s="278"/>
      <c r="V1628" s="278"/>
      <c r="W1628" s="278"/>
    </row>
    <row r="1629" spans="1:23" s="269" customFormat="1" ht="20.25">
      <c r="A1629" s="267"/>
      <c r="B1629" s="275" t="s">
        <v>2437</v>
      </c>
      <c r="C1629" s="275" t="s">
        <v>3831</v>
      </c>
      <c r="D1629" s="168" t="s">
        <v>7203</v>
      </c>
      <c r="E1629" s="168" t="s">
        <v>2352</v>
      </c>
      <c r="F1629" s="168" t="s">
        <v>4623</v>
      </c>
      <c r="G1629" s="168" t="s">
        <v>4623</v>
      </c>
      <c r="H1629" s="292" t="s">
        <v>4623</v>
      </c>
      <c r="I1629" s="293" t="s">
        <v>4623</v>
      </c>
      <c r="J1629" s="293" t="s">
        <v>4623</v>
      </c>
      <c r="K1629" s="290" t="s">
        <v>4623</v>
      </c>
      <c r="L1629" s="290" t="s">
        <v>4623</v>
      </c>
      <c r="M1629" s="290" t="s">
        <v>4623</v>
      </c>
      <c r="N1629" s="290" t="s">
        <v>4623</v>
      </c>
      <c r="O1629" s="290" t="s">
        <v>4623</v>
      </c>
      <c r="P1629" s="290" t="s">
        <v>999</v>
      </c>
      <c r="Q1629" s="291" t="s">
        <v>4623</v>
      </c>
      <c r="R1629" s="276"/>
      <c r="S1629" s="277">
        <f>IF(OR(C1629="",C1629=T$4),NA(),MATCH($B1629&amp;$C1629,'Smelter Reference List'!$J:$J,0))</f>
        <v>442</v>
      </c>
      <c r="T1629" s="278"/>
      <c r="U1629" s="278"/>
      <c r="V1629" s="278"/>
      <c r="W1629" s="278"/>
    </row>
    <row r="1630" spans="1:23" s="269" customFormat="1" ht="20.25">
      <c r="A1630" s="267"/>
      <c r="B1630" s="275" t="s">
        <v>2437</v>
      </c>
      <c r="C1630" s="275" t="s">
        <v>3831</v>
      </c>
      <c r="D1630" s="168" t="s">
        <v>7204</v>
      </c>
      <c r="E1630" s="168" t="s">
        <v>2352</v>
      </c>
      <c r="F1630" s="168" t="s">
        <v>4623</v>
      </c>
      <c r="G1630" s="168" t="s">
        <v>4623</v>
      </c>
      <c r="H1630" s="292" t="s">
        <v>7205</v>
      </c>
      <c r="I1630" s="293" t="s">
        <v>7206</v>
      </c>
      <c r="J1630" s="293" t="s">
        <v>7207</v>
      </c>
      <c r="K1630" s="290" t="s">
        <v>7208</v>
      </c>
      <c r="L1630" s="290" t="s">
        <v>5000</v>
      </c>
      <c r="M1630" s="290" t="s">
        <v>7209</v>
      </c>
      <c r="N1630" s="290" t="s">
        <v>6193</v>
      </c>
      <c r="O1630" s="290" t="s">
        <v>4623</v>
      </c>
      <c r="P1630" s="290" t="s">
        <v>999</v>
      </c>
      <c r="Q1630" s="291" t="s">
        <v>4623</v>
      </c>
      <c r="R1630" s="276"/>
      <c r="S1630" s="277">
        <f>IF(OR(C1630="",C1630=T$4),NA(),MATCH($B1630&amp;$C1630,'Smelter Reference List'!$J:$J,0))</f>
        <v>442</v>
      </c>
      <c r="T1630" s="278"/>
      <c r="U1630" s="278"/>
      <c r="V1630" s="278"/>
      <c r="W1630" s="278"/>
    </row>
    <row r="1631" spans="1:23" s="269" customFormat="1" ht="20.25">
      <c r="A1631" s="267"/>
      <c r="B1631" s="275" t="s">
        <v>2437</v>
      </c>
      <c r="C1631" s="275" t="s">
        <v>3831</v>
      </c>
      <c r="D1631" s="168" t="s">
        <v>7210</v>
      </c>
      <c r="E1631" s="168" t="s">
        <v>2352</v>
      </c>
      <c r="F1631" s="168" t="s">
        <v>4623</v>
      </c>
      <c r="G1631" s="168" t="s">
        <v>4623</v>
      </c>
      <c r="H1631" s="292" t="s">
        <v>4623</v>
      </c>
      <c r="I1631" s="293" t="s">
        <v>4623</v>
      </c>
      <c r="J1631" s="293" t="s">
        <v>4623</v>
      </c>
      <c r="K1631" s="290" t="s">
        <v>4623</v>
      </c>
      <c r="L1631" s="290" t="s">
        <v>4623</v>
      </c>
      <c r="M1631" s="290" t="s">
        <v>4623</v>
      </c>
      <c r="N1631" s="290" t="s">
        <v>4623</v>
      </c>
      <c r="O1631" s="290" t="s">
        <v>4623</v>
      </c>
      <c r="P1631" s="290" t="s">
        <v>999</v>
      </c>
      <c r="Q1631" s="291" t="s">
        <v>4623</v>
      </c>
      <c r="R1631" s="276"/>
      <c r="S1631" s="277">
        <f>IF(OR(C1631="",C1631=T$4),NA(),MATCH($B1631&amp;$C1631,'Smelter Reference List'!$J:$J,0))</f>
        <v>442</v>
      </c>
      <c r="T1631" s="278"/>
      <c r="U1631" s="278"/>
      <c r="V1631" s="278"/>
      <c r="W1631" s="278"/>
    </row>
    <row r="1632" spans="1:23" s="269" customFormat="1" ht="20.25">
      <c r="A1632" s="267"/>
      <c r="B1632" s="275" t="s">
        <v>2437</v>
      </c>
      <c r="C1632" s="275" t="s">
        <v>3831</v>
      </c>
      <c r="D1632" s="168" t="s">
        <v>82</v>
      </c>
      <c r="E1632" s="168" t="s">
        <v>2351</v>
      </c>
      <c r="F1632" s="168" t="s">
        <v>4623</v>
      </c>
      <c r="G1632" s="168" t="s">
        <v>4623</v>
      </c>
      <c r="H1632" s="292" t="s">
        <v>4623</v>
      </c>
      <c r="I1632" s="293" t="s">
        <v>4623</v>
      </c>
      <c r="J1632" s="293" t="s">
        <v>4623</v>
      </c>
      <c r="K1632" s="290" t="s">
        <v>4623</v>
      </c>
      <c r="L1632" s="290" t="s">
        <v>4623</v>
      </c>
      <c r="M1632" s="290" t="s">
        <v>4623</v>
      </c>
      <c r="N1632" s="290" t="s">
        <v>4623</v>
      </c>
      <c r="O1632" s="290" t="s">
        <v>4623</v>
      </c>
      <c r="P1632" s="290" t="s">
        <v>999</v>
      </c>
      <c r="Q1632" s="291" t="s">
        <v>4623</v>
      </c>
      <c r="R1632" s="276"/>
      <c r="S1632" s="277">
        <f>IF(OR(C1632="",C1632=T$4),NA(),MATCH($B1632&amp;$C1632,'Smelter Reference List'!$J:$J,0))</f>
        <v>442</v>
      </c>
      <c r="T1632" s="278"/>
      <c r="U1632" s="278"/>
      <c r="V1632" s="278"/>
      <c r="W1632" s="278"/>
    </row>
    <row r="1633" spans="1:23" s="269" customFormat="1" ht="20.25">
      <c r="A1633" s="267"/>
      <c r="B1633" s="275" t="s">
        <v>2437</v>
      </c>
      <c r="C1633" s="275" t="s">
        <v>3831</v>
      </c>
      <c r="D1633" s="168" t="s">
        <v>7211</v>
      </c>
      <c r="E1633" s="168" t="s">
        <v>2351</v>
      </c>
      <c r="F1633" s="168" t="s">
        <v>4623</v>
      </c>
      <c r="G1633" s="168" t="s">
        <v>4623</v>
      </c>
      <c r="H1633" s="292" t="s">
        <v>4623</v>
      </c>
      <c r="I1633" s="293" t="s">
        <v>4623</v>
      </c>
      <c r="J1633" s="293" t="s">
        <v>4623</v>
      </c>
      <c r="K1633" s="290" t="s">
        <v>4623</v>
      </c>
      <c r="L1633" s="290" t="s">
        <v>4623</v>
      </c>
      <c r="M1633" s="290" t="s">
        <v>4623</v>
      </c>
      <c r="N1633" s="290" t="s">
        <v>4623</v>
      </c>
      <c r="O1633" s="290" t="s">
        <v>4623</v>
      </c>
      <c r="P1633" s="290" t="s">
        <v>999</v>
      </c>
      <c r="Q1633" s="291" t="s">
        <v>4623</v>
      </c>
      <c r="R1633" s="276"/>
      <c r="S1633" s="277">
        <f>IF(OR(C1633="",C1633=T$4),NA(),MATCH($B1633&amp;$C1633,'Smelter Reference List'!$J:$J,0))</f>
        <v>442</v>
      </c>
      <c r="T1633" s="278"/>
      <c r="U1633" s="278"/>
      <c r="V1633" s="278"/>
      <c r="W1633" s="278"/>
    </row>
    <row r="1634" spans="1:23" s="269" customFormat="1" ht="20.25">
      <c r="A1634" s="267"/>
      <c r="B1634" s="275" t="s">
        <v>2437</v>
      </c>
      <c r="C1634" s="275" t="s">
        <v>3831</v>
      </c>
      <c r="D1634" s="168" t="s">
        <v>6516</v>
      </c>
      <c r="E1634" s="168" t="s">
        <v>2351</v>
      </c>
      <c r="F1634" s="168" t="s">
        <v>4623</v>
      </c>
      <c r="G1634" s="168" t="s">
        <v>4623</v>
      </c>
      <c r="H1634" s="292" t="s">
        <v>4623</v>
      </c>
      <c r="I1634" s="293" t="s">
        <v>4623</v>
      </c>
      <c r="J1634" s="293" t="s">
        <v>4623</v>
      </c>
      <c r="K1634" s="290" t="s">
        <v>4623</v>
      </c>
      <c r="L1634" s="290" t="s">
        <v>4623</v>
      </c>
      <c r="M1634" s="290" t="s">
        <v>4623</v>
      </c>
      <c r="N1634" s="290" t="s">
        <v>4623</v>
      </c>
      <c r="O1634" s="290" t="s">
        <v>4623</v>
      </c>
      <c r="P1634" s="290" t="s">
        <v>999</v>
      </c>
      <c r="Q1634" s="291" t="s">
        <v>4623</v>
      </c>
      <c r="R1634" s="276"/>
      <c r="S1634" s="277">
        <f>IF(OR(C1634="",C1634=T$4),NA(),MATCH($B1634&amp;$C1634,'Smelter Reference List'!$J:$J,0))</f>
        <v>442</v>
      </c>
      <c r="T1634" s="278"/>
      <c r="U1634" s="278"/>
      <c r="V1634" s="278"/>
      <c r="W1634" s="278"/>
    </row>
    <row r="1635" spans="1:23" s="269" customFormat="1" ht="20.25">
      <c r="A1635" s="267"/>
      <c r="B1635" s="275" t="s">
        <v>2437</v>
      </c>
      <c r="C1635" s="275" t="s">
        <v>3831</v>
      </c>
      <c r="D1635" s="168" t="s">
        <v>7212</v>
      </c>
      <c r="E1635" s="168" t="s">
        <v>2351</v>
      </c>
      <c r="F1635" s="168" t="s">
        <v>4623</v>
      </c>
      <c r="G1635" s="168" t="s">
        <v>4623</v>
      </c>
      <c r="H1635" s="292" t="s">
        <v>4623</v>
      </c>
      <c r="I1635" s="293" t="s">
        <v>4623</v>
      </c>
      <c r="J1635" s="293" t="s">
        <v>4623</v>
      </c>
      <c r="K1635" s="290" t="s">
        <v>4623</v>
      </c>
      <c r="L1635" s="290" t="s">
        <v>4623</v>
      </c>
      <c r="M1635" s="290" t="s">
        <v>4623</v>
      </c>
      <c r="N1635" s="290" t="s">
        <v>4623</v>
      </c>
      <c r="O1635" s="290" t="s">
        <v>4623</v>
      </c>
      <c r="P1635" s="290" t="s">
        <v>999</v>
      </c>
      <c r="Q1635" s="291" t="s">
        <v>4623</v>
      </c>
      <c r="R1635" s="276"/>
      <c r="S1635" s="277">
        <f>IF(OR(C1635="",C1635=T$4),NA(),MATCH($B1635&amp;$C1635,'Smelter Reference List'!$J:$J,0))</f>
        <v>442</v>
      </c>
      <c r="T1635" s="278"/>
      <c r="U1635" s="278"/>
      <c r="V1635" s="278"/>
      <c r="W1635" s="278"/>
    </row>
    <row r="1636" spans="1:23" s="269" customFormat="1" ht="20.25">
      <c r="A1636" s="267"/>
      <c r="B1636" s="275" t="s">
        <v>2437</v>
      </c>
      <c r="C1636" s="275" t="s">
        <v>3831</v>
      </c>
      <c r="D1636" s="168" t="s">
        <v>7213</v>
      </c>
      <c r="E1636" s="168" t="s">
        <v>2351</v>
      </c>
      <c r="F1636" s="168" t="s">
        <v>4623</v>
      </c>
      <c r="G1636" s="168" t="s">
        <v>4623</v>
      </c>
      <c r="H1636" s="292" t="s">
        <v>4623</v>
      </c>
      <c r="I1636" s="293" t="s">
        <v>4623</v>
      </c>
      <c r="J1636" s="293" t="s">
        <v>4623</v>
      </c>
      <c r="K1636" s="290" t="s">
        <v>7214</v>
      </c>
      <c r="L1636" s="290" t="s">
        <v>7215</v>
      </c>
      <c r="M1636" s="290" t="s">
        <v>4623</v>
      </c>
      <c r="N1636" s="290" t="s">
        <v>4623</v>
      </c>
      <c r="O1636" s="290" t="s">
        <v>4623</v>
      </c>
      <c r="P1636" s="290" t="s">
        <v>999</v>
      </c>
      <c r="Q1636" s="291" t="s">
        <v>4623</v>
      </c>
      <c r="R1636" s="276"/>
      <c r="S1636" s="277">
        <f>IF(OR(C1636="",C1636=T$4),NA(),MATCH($B1636&amp;$C1636,'Smelter Reference List'!$J:$J,0))</f>
        <v>442</v>
      </c>
      <c r="T1636" s="278"/>
      <c r="U1636" s="278"/>
      <c r="V1636" s="278"/>
      <c r="W1636" s="278"/>
    </row>
    <row r="1637" spans="1:23" s="269" customFormat="1" ht="20.25">
      <c r="A1637" s="267"/>
      <c r="B1637" s="275" t="s">
        <v>2437</v>
      </c>
      <c r="C1637" s="275" t="s">
        <v>3831</v>
      </c>
      <c r="D1637" s="168" t="s">
        <v>7216</v>
      </c>
      <c r="E1637" s="168" t="s">
        <v>2351</v>
      </c>
      <c r="F1637" s="168" t="s">
        <v>4623</v>
      </c>
      <c r="G1637" s="168" t="s">
        <v>4623</v>
      </c>
      <c r="H1637" s="292" t="s">
        <v>4623</v>
      </c>
      <c r="I1637" s="293" t="s">
        <v>4623</v>
      </c>
      <c r="J1637" s="293" t="s">
        <v>4623</v>
      </c>
      <c r="K1637" s="290" t="s">
        <v>4623</v>
      </c>
      <c r="L1637" s="290" t="s">
        <v>4623</v>
      </c>
      <c r="M1637" s="290" t="s">
        <v>4623</v>
      </c>
      <c r="N1637" s="290" t="s">
        <v>4623</v>
      </c>
      <c r="O1637" s="290" t="s">
        <v>4623</v>
      </c>
      <c r="P1637" s="290" t="s">
        <v>999</v>
      </c>
      <c r="Q1637" s="291" t="s">
        <v>4623</v>
      </c>
      <c r="R1637" s="276"/>
      <c r="S1637" s="277">
        <f>IF(OR(C1637="",C1637=T$4),NA(),MATCH($B1637&amp;$C1637,'Smelter Reference List'!$J:$J,0))</f>
        <v>442</v>
      </c>
      <c r="T1637" s="278"/>
      <c r="U1637" s="278"/>
      <c r="V1637" s="278"/>
      <c r="W1637" s="278"/>
    </row>
    <row r="1638" spans="1:23" s="269" customFormat="1" ht="20.25">
      <c r="A1638" s="267"/>
      <c r="B1638" s="275" t="s">
        <v>2437</v>
      </c>
      <c r="C1638" s="275" t="s">
        <v>3831</v>
      </c>
      <c r="D1638" s="168" t="s">
        <v>7217</v>
      </c>
      <c r="E1638" s="168" t="s">
        <v>2351</v>
      </c>
      <c r="F1638" s="168" t="s">
        <v>4623</v>
      </c>
      <c r="G1638" s="168" t="s">
        <v>4623</v>
      </c>
      <c r="H1638" s="292" t="s">
        <v>4623</v>
      </c>
      <c r="I1638" s="293" t="s">
        <v>4623</v>
      </c>
      <c r="J1638" s="293" t="s">
        <v>4623</v>
      </c>
      <c r="K1638" s="290" t="s">
        <v>4623</v>
      </c>
      <c r="L1638" s="290" t="s">
        <v>4623</v>
      </c>
      <c r="M1638" s="290" t="s">
        <v>6377</v>
      </c>
      <c r="N1638" s="290" t="s">
        <v>5000</v>
      </c>
      <c r="O1638" s="290" t="s">
        <v>5000</v>
      </c>
      <c r="P1638" s="290" t="s">
        <v>999</v>
      </c>
      <c r="Q1638" s="291" t="s">
        <v>4623</v>
      </c>
      <c r="R1638" s="276"/>
      <c r="S1638" s="277">
        <f>IF(OR(C1638="",C1638=T$4),NA(),MATCH($B1638&amp;$C1638,'Smelter Reference List'!$J:$J,0))</f>
        <v>442</v>
      </c>
      <c r="T1638" s="278"/>
      <c r="U1638" s="278"/>
      <c r="V1638" s="278"/>
      <c r="W1638" s="278"/>
    </row>
    <row r="1639" spans="1:23" s="269" customFormat="1" ht="20.25">
      <c r="A1639" s="267"/>
      <c r="B1639" s="275" t="s">
        <v>2437</v>
      </c>
      <c r="C1639" s="275" t="s">
        <v>3831</v>
      </c>
      <c r="D1639" s="168" t="s">
        <v>7218</v>
      </c>
      <c r="E1639" s="168" t="s">
        <v>2351</v>
      </c>
      <c r="F1639" s="168" t="s">
        <v>4623</v>
      </c>
      <c r="G1639" s="168" t="s">
        <v>4623</v>
      </c>
      <c r="H1639" s="292" t="s">
        <v>4623</v>
      </c>
      <c r="I1639" s="293" t="s">
        <v>4623</v>
      </c>
      <c r="J1639" s="293" t="s">
        <v>4623</v>
      </c>
      <c r="K1639" s="290" t="s">
        <v>4623</v>
      </c>
      <c r="L1639" s="290" t="s">
        <v>4623</v>
      </c>
      <c r="M1639" s="290" t="s">
        <v>6377</v>
      </c>
      <c r="N1639" s="290" t="s">
        <v>5000</v>
      </c>
      <c r="O1639" s="290" t="s">
        <v>5000</v>
      </c>
      <c r="P1639" s="290" t="s">
        <v>999</v>
      </c>
      <c r="Q1639" s="291" t="s">
        <v>4623</v>
      </c>
      <c r="R1639" s="276"/>
      <c r="S1639" s="277">
        <f>IF(OR(C1639="",C1639=T$4),NA(),MATCH($B1639&amp;$C1639,'Smelter Reference List'!$J:$J,0))</f>
        <v>442</v>
      </c>
      <c r="T1639" s="278"/>
      <c r="U1639" s="278"/>
      <c r="V1639" s="278"/>
      <c r="W1639" s="278"/>
    </row>
    <row r="1640" spans="1:23" s="269" customFormat="1" ht="20.25">
      <c r="A1640" s="267"/>
      <c r="B1640" s="275" t="s">
        <v>2437</v>
      </c>
      <c r="C1640" s="275" t="s">
        <v>3831</v>
      </c>
      <c r="D1640" s="168" t="s">
        <v>7219</v>
      </c>
      <c r="E1640" s="168" t="s">
        <v>2351</v>
      </c>
      <c r="F1640" s="168" t="s">
        <v>4623</v>
      </c>
      <c r="G1640" s="168" t="s">
        <v>4623</v>
      </c>
      <c r="H1640" s="292" t="s">
        <v>4623</v>
      </c>
      <c r="I1640" s="293" t="s">
        <v>4623</v>
      </c>
      <c r="J1640" s="293" t="s">
        <v>4623</v>
      </c>
      <c r="K1640" s="290" t="s">
        <v>4623</v>
      </c>
      <c r="L1640" s="290" t="s">
        <v>4623</v>
      </c>
      <c r="M1640" s="290" t="s">
        <v>4623</v>
      </c>
      <c r="N1640" s="290" t="s">
        <v>1005</v>
      </c>
      <c r="O1640" s="290" t="s">
        <v>4623</v>
      </c>
      <c r="P1640" s="290" t="s">
        <v>999</v>
      </c>
      <c r="Q1640" s="291" t="s">
        <v>4623</v>
      </c>
      <c r="R1640" s="276"/>
      <c r="S1640" s="277">
        <f>IF(OR(C1640="",C1640=T$4),NA(),MATCH($B1640&amp;$C1640,'Smelter Reference List'!$J:$J,0))</f>
        <v>442</v>
      </c>
      <c r="T1640" s="278"/>
      <c r="U1640" s="278"/>
      <c r="V1640" s="278"/>
      <c r="W1640" s="278"/>
    </row>
    <row r="1641" spans="1:23" s="269" customFormat="1" ht="20.25">
      <c r="A1641" s="267"/>
      <c r="B1641" s="275" t="s">
        <v>2437</v>
      </c>
      <c r="C1641" s="275" t="s">
        <v>3831</v>
      </c>
      <c r="D1641" s="168" t="s">
        <v>4391</v>
      </c>
      <c r="E1641" s="168" t="s">
        <v>2351</v>
      </c>
      <c r="F1641" s="168" t="s">
        <v>4623</v>
      </c>
      <c r="G1641" s="168" t="s">
        <v>4623</v>
      </c>
      <c r="H1641" s="292" t="s">
        <v>4623</v>
      </c>
      <c r="I1641" s="293" t="s">
        <v>4623</v>
      </c>
      <c r="J1641" s="293" t="s">
        <v>4623</v>
      </c>
      <c r="K1641" s="290" t="s">
        <v>4623</v>
      </c>
      <c r="L1641" s="290" t="s">
        <v>4623</v>
      </c>
      <c r="M1641" s="290" t="s">
        <v>4623</v>
      </c>
      <c r="N1641" s="290" t="s">
        <v>4623</v>
      </c>
      <c r="O1641" s="290" t="s">
        <v>4623</v>
      </c>
      <c r="P1641" s="290" t="s">
        <v>999</v>
      </c>
      <c r="Q1641" s="291" t="s">
        <v>4623</v>
      </c>
      <c r="R1641" s="276"/>
      <c r="S1641" s="277">
        <f>IF(OR(C1641="",C1641=T$4),NA(),MATCH($B1641&amp;$C1641,'Smelter Reference List'!$J:$J,0))</f>
        <v>442</v>
      </c>
      <c r="T1641" s="278"/>
      <c r="U1641" s="278"/>
      <c r="V1641" s="278"/>
      <c r="W1641" s="278"/>
    </row>
    <row r="1642" spans="1:23" s="269" customFormat="1" ht="20.25">
      <c r="A1642" s="267"/>
      <c r="B1642" s="275" t="s">
        <v>2437</v>
      </c>
      <c r="C1642" s="275" t="s">
        <v>3831</v>
      </c>
      <c r="D1642" s="168" t="s">
        <v>7220</v>
      </c>
      <c r="E1642" s="168" t="s">
        <v>2351</v>
      </c>
      <c r="F1642" s="168" t="s">
        <v>4623</v>
      </c>
      <c r="G1642" s="168" t="s">
        <v>4623</v>
      </c>
      <c r="H1642" s="292" t="s">
        <v>7221</v>
      </c>
      <c r="I1642" s="293" t="s">
        <v>7222</v>
      </c>
      <c r="J1642" s="293" t="s">
        <v>3669</v>
      </c>
      <c r="K1642" s="290" t="s">
        <v>7223</v>
      </c>
      <c r="L1642" s="290" t="s">
        <v>7224</v>
      </c>
      <c r="M1642" s="290" t="s">
        <v>4623</v>
      </c>
      <c r="N1642" s="290" t="s">
        <v>4623</v>
      </c>
      <c r="O1642" s="290" t="s">
        <v>4623</v>
      </c>
      <c r="P1642" s="290" t="s">
        <v>999</v>
      </c>
      <c r="Q1642" s="291" t="s">
        <v>4623</v>
      </c>
      <c r="R1642" s="276"/>
      <c r="S1642" s="277">
        <f>IF(OR(C1642="",C1642=T$4),NA(),MATCH($B1642&amp;$C1642,'Smelter Reference List'!$J:$J,0))</f>
        <v>442</v>
      </c>
      <c r="T1642" s="278"/>
      <c r="U1642" s="278"/>
      <c r="V1642" s="278"/>
      <c r="W1642" s="278"/>
    </row>
    <row r="1643" spans="1:23" s="269" customFormat="1" ht="20.25">
      <c r="A1643" s="267"/>
      <c r="B1643" s="275" t="s">
        <v>2437</v>
      </c>
      <c r="C1643" s="275" t="s">
        <v>3831</v>
      </c>
      <c r="D1643" s="168" t="s">
        <v>7225</v>
      </c>
      <c r="E1643" s="168" t="s">
        <v>2351</v>
      </c>
      <c r="F1643" s="168" t="s">
        <v>4623</v>
      </c>
      <c r="G1643" s="168" t="s">
        <v>4623</v>
      </c>
      <c r="H1643" s="292" t="s">
        <v>4623</v>
      </c>
      <c r="I1643" s="293" t="s">
        <v>4623</v>
      </c>
      <c r="J1643" s="293" t="s">
        <v>4623</v>
      </c>
      <c r="K1643" s="290" t="s">
        <v>4623</v>
      </c>
      <c r="L1643" s="290" t="s">
        <v>4623</v>
      </c>
      <c r="M1643" s="290" t="s">
        <v>4623</v>
      </c>
      <c r="N1643" s="290" t="s">
        <v>4623</v>
      </c>
      <c r="O1643" s="290" t="s">
        <v>4623</v>
      </c>
      <c r="P1643" s="290" t="s">
        <v>999</v>
      </c>
      <c r="Q1643" s="291" t="s">
        <v>4623</v>
      </c>
      <c r="R1643" s="276"/>
      <c r="S1643" s="277">
        <f>IF(OR(C1643="",C1643=T$4),NA(),MATCH($B1643&amp;$C1643,'Smelter Reference List'!$J:$J,0))</f>
        <v>442</v>
      </c>
      <c r="T1643" s="278"/>
      <c r="U1643" s="278"/>
      <c r="V1643" s="278"/>
      <c r="W1643" s="278"/>
    </row>
    <row r="1644" spans="1:23" s="269" customFormat="1" ht="20.25">
      <c r="A1644" s="267"/>
      <c r="B1644" s="275" t="s">
        <v>2437</v>
      </c>
      <c r="C1644" s="275" t="s">
        <v>3831</v>
      </c>
      <c r="D1644" s="168" t="s">
        <v>7226</v>
      </c>
      <c r="E1644" s="168" t="s">
        <v>2351</v>
      </c>
      <c r="F1644" s="168" t="s">
        <v>7227</v>
      </c>
      <c r="G1644" s="168" t="s">
        <v>3324</v>
      </c>
      <c r="H1644" s="292" t="s">
        <v>4623</v>
      </c>
      <c r="I1644" s="293" t="s">
        <v>4623</v>
      </c>
      <c r="J1644" s="293" t="s">
        <v>4623</v>
      </c>
      <c r="K1644" s="290" t="s">
        <v>4623</v>
      </c>
      <c r="L1644" s="290" t="s">
        <v>4623</v>
      </c>
      <c r="M1644" s="290" t="s">
        <v>4623</v>
      </c>
      <c r="N1644" s="290" t="s">
        <v>4623</v>
      </c>
      <c r="O1644" s="290" t="s">
        <v>4623</v>
      </c>
      <c r="P1644" s="290" t="s">
        <v>999</v>
      </c>
      <c r="Q1644" s="291" t="s">
        <v>4623</v>
      </c>
      <c r="R1644" s="276"/>
      <c r="S1644" s="277">
        <f>IF(OR(C1644="",C1644=T$4),NA(),MATCH($B1644&amp;$C1644,'Smelter Reference List'!$J:$J,0))</f>
        <v>442</v>
      </c>
      <c r="T1644" s="278"/>
      <c r="U1644" s="278"/>
      <c r="V1644" s="278"/>
      <c r="W1644" s="278"/>
    </row>
    <row r="1645" spans="1:23" s="269" customFormat="1" ht="20.25">
      <c r="A1645" s="267"/>
      <c r="B1645" s="275" t="s">
        <v>2437</v>
      </c>
      <c r="C1645" s="275" t="s">
        <v>3831</v>
      </c>
      <c r="D1645" s="168" t="s">
        <v>7228</v>
      </c>
      <c r="E1645" s="168" t="s">
        <v>2351</v>
      </c>
      <c r="F1645" s="168" t="s">
        <v>4623</v>
      </c>
      <c r="G1645" s="168" t="s">
        <v>4623</v>
      </c>
      <c r="H1645" s="292" t="s">
        <v>4623</v>
      </c>
      <c r="I1645" s="293" t="s">
        <v>4623</v>
      </c>
      <c r="J1645" s="293" t="s">
        <v>4623</v>
      </c>
      <c r="K1645" s="290" t="s">
        <v>4623</v>
      </c>
      <c r="L1645" s="290" t="s">
        <v>4623</v>
      </c>
      <c r="M1645" s="290" t="s">
        <v>4623</v>
      </c>
      <c r="N1645" s="290" t="s">
        <v>4623</v>
      </c>
      <c r="O1645" s="290" t="s">
        <v>4623</v>
      </c>
      <c r="P1645" s="290" t="s">
        <v>999</v>
      </c>
      <c r="Q1645" s="291" t="s">
        <v>4623</v>
      </c>
      <c r="R1645" s="276"/>
      <c r="S1645" s="277">
        <f>IF(OR(C1645="",C1645=T$4),NA(),MATCH($B1645&amp;$C1645,'Smelter Reference List'!$J:$J,0))</f>
        <v>442</v>
      </c>
      <c r="T1645" s="278"/>
      <c r="U1645" s="278"/>
      <c r="V1645" s="278"/>
      <c r="W1645" s="278"/>
    </row>
    <row r="1646" spans="1:23" s="269" customFormat="1" ht="20.25">
      <c r="A1646" s="267"/>
      <c r="B1646" s="275" t="s">
        <v>2437</v>
      </c>
      <c r="C1646" s="275" t="s">
        <v>3831</v>
      </c>
      <c r="D1646" s="168" t="s">
        <v>7229</v>
      </c>
      <c r="E1646" s="168" t="s">
        <v>2351</v>
      </c>
      <c r="F1646" s="168" t="s">
        <v>4623</v>
      </c>
      <c r="G1646" s="168" t="s">
        <v>4623</v>
      </c>
      <c r="H1646" s="292" t="s">
        <v>4623</v>
      </c>
      <c r="I1646" s="293" t="s">
        <v>4623</v>
      </c>
      <c r="J1646" s="293" t="s">
        <v>4623</v>
      </c>
      <c r="K1646" s="290" t="s">
        <v>4623</v>
      </c>
      <c r="L1646" s="290" t="s">
        <v>4623</v>
      </c>
      <c r="M1646" s="290" t="s">
        <v>4623</v>
      </c>
      <c r="N1646" s="290" t="s">
        <v>4623</v>
      </c>
      <c r="O1646" s="290" t="s">
        <v>4623</v>
      </c>
      <c r="P1646" s="290" t="s">
        <v>999</v>
      </c>
      <c r="Q1646" s="291" t="s">
        <v>4623</v>
      </c>
      <c r="R1646" s="276"/>
      <c r="S1646" s="277">
        <f>IF(OR(C1646="",C1646=T$4),NA(),MATCH($B1646&amp;$C1646,'Smelter Reference List'!$J:$J,0))</f>
        <v>442</v>
      </c>
      <c r="T1646" s="278"/>
      <c r="U1646" s="278"/>
      <c r="V1646" s="278"/>
      <c r="W1646" s="278"/>
    </row>
    <row r="1647" spans="1:23" s="269" customFormat="1" ht="20.25">
      <c r="A1647" s="267"/>
      <c r="B1647" s="275" t="s">
        <v>2437</v>
      </c>
      <c r="C1647" s="275" t="s">
        <v>3831</v>
      </c>
      <c r="D1647" s="168" t="s">
        <v>7230</v>
      </c>
      <c r="E1647" s="168" t="s">
        <v>2351</v>
      </c>
      <c r="F1647" s="168" t="s">
        <v>4623</v>
      </c>
      <c r="G1647" s="168" t="s">
        <v>4623</v>
      </c>
      <c r="H1647" s="292" t="s">
        <v>4623</v>
      </c>
      <c r="I1647" s="293" t="s">
        <v>4623</v>
      </c>
      <c r="J1647" s="293" t="s">
        <v>4623</v>
      </c>
      <c r="K1647" s="290" t="s">
        <v>4623</v>
      </c>
      <c r="L1647" s="290" t="s">
        <v>4623</v>
      </c>
      <c r="M1647" s="290" t="s">
        <v>4623</v>
      </c>
      <c r="N1647" s="290" t="s">
        <v>4623</v>
      </c>
      <c r="O1647" s="290" t="s">
        <v>4623</v>
      </c>
      <c r="P1647" s="290" t="s">
        <v>999</v>
      </c>
      <c r="Q1647" s="291" t="s">
        <v>4623</v>
      </c>
      <c r="R1647" s="276"/>
      <c r="S1647" s="277">
        <f>IF(OR(C1647="",C1647=T$4),NA(),MATCH($B1647&amp;$C1647,'Smelter Reference List'!$J:$J,0))</f>
        <v>442</v>
      </c>
      <c r="T1647" s="278"/>
      <c r="U1647" s="278"/>
      <c r="V1647" s="278"/>
      <c r="W1647" s="278"/>
    </row>
    <row r="1648" spans="1:23" s="269" customFormat="1" ht="20.25">
      <c r="A1648" s="267"/>
      <c r="B1648" s="275" t="s">
        <v>2437</v>
      </c>
      <c r="C1648" s="275" t="s">
        <v>3831</v>
      </c>
      <c r="D1648" s="168" t="s">
        <v>4683</v>
      </c>
      <c r="E1648" s="168" t="s">
        <v>2351</v>
      </c>
      <c r="F1648" s="168" t="s">
        <v>4623</v>
      </c>
      <c r="G1648" s="168" t="s">
        <v>4623</v>
      </c>
      <c r="H1648" s="292" t="s">
        <v>4623</v>
      </c>
      <c r="I1648" s="293" t="s">
        <v>4623</v>
      </c>
      <c r="J1648" s="293" t="s">
        <v>4623</v>
      </c>
      <c r="K1648" s="290" t="s">
        <v>4623</v>
      </c>
      <c r="L1648" s="290" t="s">
        <v>4623</v>
      </c>
      <c r="M1648" s="290" t="s">
        <v>4623</v>
      </c>
      <c r="N1648" s="290" t="s">
        <v>4623</v>
      </c>
      <c r="O1648" s="290" t="s">
        <v>4623</v>
      </c>
      <c r="P1648" s="290" t="s">
        <v>999</v>
      </c>
      <c r="Q1648" s="291" t="s">
        <v>4623</v>
      </c>
      <c r="R1648" s="276"/>
      <c r="S1648" s="277">
        <f>IF(OR(C1648="",C1648=T$4),NA(),MATCH($B1648&amp;$C1648,'Smelter Reference List'!$J:$J,0))</f>
        <v>442</v>
      </c>
      <c r="T1648" s="278"/>
      <c r="U1648" s="278"/>
      <c r="V1648" s="278"/>
      <c r="W1648" s="278"/>
    </row>
    <row r="1649" spans="1:23" s="269" customFormat="1" ht="20.25">
      <c r="A1649" s="267"/>
      <c r="B1649" s="275" t="s">
        <v>2437</v>
      </c>
      <c r="C1649" s="275" t="s">
        <v>3831</v>
      </c>
      <c r="D1649" s="168" t="s">
        <v>7231</v>
      </c>
      <c r="E1649" s="168" t="s">
        <v>2351</v>
      </c>
      <c r="F1649" s="168" t="s">
        <v>4623</v>
      </c>
      <c r="G1649" s="168" t="s">
        <v>4623</v>
      </c>
      <c r="H1649" s="292" t="s">
        <v>7232</v>
      </c>
      <c r="I1649" s="293" t="s">
        <v>7233</v>
      </c>
      <c r="J1649" s="293" t="s">
        <v>7234</v>
      </c>
      <c r="K1649" s="290" t="s">
        <v>7235</v>
      </c>
      <c r="L1649" s="290" t="s">
        <v>7236</v>
      </c>
      <c r="M1649" s="290" t="s">
        <v>4623</v>
      </c>
      <c r="N1649" s="290" t="s">
        <v>4623</v>
      </c>
      <c r="O1649" s="290" t="s">
        <v>4792</v>
      </c>
      <c r="P1649" s="290" t="s">
        <v>999</v>
      </c>
      <c r="Q1649" s="291" t="s">
        <v>7237</v>
      </c>
      <c r="R1649" s="276"/>
      <c r="S1649" s="277">
        <f>IF(OR(C1649="",C1649=T$4),NA(),MATCH($B1649&amp;$C1649,'Smelter Reference List'!$J:$J,0))</f>
        <v>442</v>
      </c>
      <c r="T1649" s="278"/>
      <c r="U1649" s="278"/>
      <c r="V1649" s="278"/>
      <c r="W1649" s="278"/>
    </row>
    <row r="1650" spans="1:23" s="269" customFormat="1" ht="20.25">
      <c r="A1650" s="267"/>
      <c r="B1650" s="275" t="s">
        <v>2437</v>
      </c>
      <c r="C1650" s="275" t="s">
        <v>3831</v>
      </c>
      <c r="D1650" s="168" t="s">
        <v>4899</v>
      </c>
      <c r="E1650" s="168" t="s">
        <v>2351</v>
      </c>
      <c r="F1650" s="168" t="s">
        <v>4623</v>
      </c>
      <c r="G1650" s="168" t="s">
        <v>4623</v>
      </c>
      <c r="H1650" s="292" t="s">
        <v>7238</v>
      </c>
      <c r="I1650" s="293" t="s">
        <v>7239</v>
      </c>
      <c r="J1650" s="293" t="s">
        <v>4623</v>
      </c>
      <c r="K1650" s="290" t="s">
        <v>4623</v>
      </c>
      <c r="L1650" s="290" t="s">
        <v>7240</v>
      </c>
      <c r="M1650" s="290" t="s">
        <v>6517</v>
      </c>
      <c r="N1650" s="290" t="s">
        <v>4792</v>
      </c>
      <c r="O1650" s="290" t="s">
        <v>7241</v>
      </c>
      <c r="P1650" s="290" t="s">
        <v>999</v>
      </c>
      <c r="Q1650" s="291" t="s">
        <v>4623</v>
      </c>
      <c r="R1650" s="276"/>
      <c r="S1650" s="277">
        <f>IF(OR(C1650="",C1650=T$4),NA(),MATCH($B1650&amp;$C1650,'Smelter Reference List'!$J:$J,0))</f>
        <v>442</v>
      </c>
      <c r="T1650" s="278"/>
      <c r="U1650" s="278"/>
      <c r="V1650" s="278"/>
      <c r="W1650" s="278"/>
    </row>
    <row r="1651" spans="1:23" s="269" customFormat="1" ht="20.25">
      <c r="A1651" s="267"/>
      <c r="B1651" s="275" t="s">
        <v>2437</v>
      </c>
      <c r="C1651" s="275" t="s">
        <v>3831</v>
      </c>
      <c r="D1651" s="168" t="s">
        <v>6681</v>
      </c>
      <c r="E1651" s="168" t="s">
        <v>2351</v>
      </c>
      <c r="F1651" s="168" t="s">
        <v>4623</v>
      </c>
      <c r="G1651" s="168" t="s">
        <v>4623</v>
      </c>
      <c r="H1651" s="292" t="s">
        <v>4623</v>
      </c>
      <c r="I1651" s="293" t="s">
        <v>4623</v>
      </c>
      <c r="J1651" s="293" t="s">
        <v>4623</v>
      </c>
      <c r="K1651" s="290" t="s">
        <v>4623</v>
      </c>
      <c r="L1651" s="290" t="s">
        <v>4623</v>
      </c>
      <c r="M1651" s="290" t="s">
        <v>4623</v>
      </c>
      <c r="N1651" s="290" t="s">
        <v>4623</v>
      </c>
      <c r="O1651" s="290" t="s">
        <v>4623</v>
      </c>
      <c r="P1651" s="290" t="s">
        <v>999</v>
      </c>
      <c r="Q1651" s="291" t="s">
        <v>4623</v>
      </c>
      <c r="R1651" s="276"/>
      <c r="S1651" s="277">
        <f>IF(OR(C1651="",C1651=T$4),NA(),MATCH($B1651&amp;$C1651,'Smelter Reference List'!$J:$J,0))</f>
        <v>442</v>
      </c>
      <c r="T1651" s="278"/>
      <c r="U1651" s="278"/>
      <c r="V1651" s="278"/>
      <c r="W1651" s="278"/>
    </row>
    <row r="1652" spans="1:23" s="269" customFormat="1" ht="20.25">
      <c r="A1652" s="267"/>
      <c r="B1652" s="275" t="s">
        <v>2437</v>
      </c>
      <c r="C1652" s="275" t="s">
        <v>3831</v>
      </c>
      <c r="D1652" s="168" t="s">
        <v>7242</v>
      </c>
      <c r="E1652" s="168" t="s">
        <v>2351</v>
      </c>
      <c r="F1652" s="168" t="s">
        <v>4623</v>
      </c>
      <c r="G1652" s="168" t="s">
        <v>4623</v>
      </c>
      <c r="H1652" s="292" t="s">
        <v>7243</v>
      </c>
      <c r="I1652" s="293" t="s">
        <v>3672</v>
      </c>
      <c r="J1652" s="293" t="s">
        <v>3669</v>
      </c>
      <c r="K1652" s="290" t="s">
        <v>7244</v>
      </c>
      <c r="L1652" s="290" t="s">
        <v>7245</v>
      </c>
      <c r="M1652" s="290" t="s">
        <v>4623</v>
      </c>
      <c r="N1652" s="290" t="s">
        <v>7246</v>
      </c>
      <c r="O1652" s="290" t="s">
        <v>4792</v>
      </c>
      <c r="P1652" s="290" t="s">
        <v>999</v>
      </c>
      <c r="Q1652" s="291" t="s">
        <v>4623</v>
      </c>
      <c r="R1652" s="276"/>
      <c r="S1652" s="277">
        <f>IF(OR(C1652="",C1652=T$4),NA(),MATCH($B1652&amp;$C1652,'Smelter Reference List'!$J:$J,0))</f>
        <v>442</v>
      </c>
      <c r="T1652" s="278"/>
      <c r="U1652" s="278"/>
      <c r="V1652" s="278"/>
      <c r="W1652" s="278"/>
    </row>
    <row r="1653" spans="1:23" s="269" customFormat="1" ht="20.25">
      <c r="A1653" s="267"/>
      <c r="B1653" s="275" t="s">
        <v>2437</v>
      </c>
      <c r="C1653" s="275" t="s">
        <v>3831</v>
      </c>
      <c r="D1653" s="168" t="s">
        <v>4852</v>
      </c>
      <c r="E1653" s="168" t="s">
        <v>2351</v>
      </c>
      <c r="F1653" s="168" t="s">
        <v>4623</v>
      </c>
      <c r="G1653" s="168" t="s">
        <v>4623</v>
      </c>
      <c r="H1653" s="292" t="s">
        <v>4623</v>
      </c>
      <c r="I1653" s="293" t="s">
        <v>4623</v>
      </c>
      <c r="J1653" s="293" t="s">
        <v>4623</v>
      </c>
      <c r="K1653" s="290" t="s">
        <v>4623</v>
      </c>
      <c r="L1653" s="290" t="s">
        <v>4623</v>
      </c>
      <c r="M1653" s="290" t="s">
        <v>4623</v>
      </c>
      <c r="N1653" s="290" t="s">
        <v>4623</v>
      </c>
      <c r="O1653" s="290" t="s">
        <v>4623</v>
      </c>
      <c r="P1653" s="290" t="s">
        <v>999</v>
      </c>
      <c r="Q1653" s="291" t="s">
        <v>4623</v>
      </c>
      <c r="R1653" s="276"/>
      <c r="S1653" s="277">
        <f>IF(OR(C1653="",C1653=T$4),NA(),MATCH($B1653&amp;$C1653,'Smelter Reference List'!$J:$J,0))</f>
        <v>442</v>
      </c>
      <c r="T1653" s="278"/>
      <c r="U1653" s="278"/>
      <c r="V1653" s="278"/>
      <c r="W1653" s="278"/>
    </row>
    <row r="1654" spans="1:23" s="269" customFormat="1" ht="20.25">
      <c r="A1654" s="267"/>
      <c r="B1654" s="275" t="s">
        <v>2437</v>
      </c>
      <c r="C1654" s="275" t="s">
        <v>3831</v>
      </c>
      <c r="D1654" s="168" t="s">
        <v>1061</v>
      </c>
      <c r="E1654" s="168" t="s">
        <v>2351</v>
      </c>
      <c r="F1654" s="168" t="s">
        <v>4623</v>
      </c>
      <c r="G1654" s="168" t="s">
        <v>4623</v>
      </c>
      <c r="H1654" s="292" t="s">
        <v>4623</v>
      </c>
      <c r="I1654" s="293" t="s">
        <v>4623</v>
      </c>
      <c r="J1654" s="293" t="s">
        <v>4623</v>
      </c>
      <c r="K1654" s="290" t="s">
        <v>4623</v>
      </c>
      <c r="L1654" s="290" t="s">
        <v>4623</v>
      </c>
      <c r="M1654" s="290" t="s">
        <v>4623</v>
      </c>
      <c r="N1654" s="290" t="s">
        <v>4623</v>
      </c>
      <c r="O1654" s="290" t="s">
        <v>4623</v>
      </c>
      <c r="P1654" s="290" t="s">
        <v>999</v>
      </c>
      <c r="Q1654" s="291" t="s">
        <v>4623</v>
      </c>
      <c r="R1654" s="276"/>
      <c r="S1654" s="277">
        <f>IF(OR(C1654="",C1654=T$4),NA(),MATCH($B1654&amp;$C1654,'Smelter Reference List'!$J:$J,0))</f>
        <v>442</v>
      </c>
      <c r="T1654" s="278"/>
      <c r="U1654" s="278"/>
      <c r="V1654" s="278"/>
      <c r="W1654" s="278"/>
    </row>
    <row r="1655" spans="1:23" s="269" customFormat="1" ht="20.25">
      <c r="A1655" s="267"/>
      <c r="B1655" s="275" t="s">
        <v>2437</v>
      </c>
      <c r="C1655" s="275" t="s">
        <v>3831</v>
      </c>
      <c r="D1655" s="168" t="s">
        <v>73</v>
      </c>
      <c r="E1655" s="168" t="s">
        <v>2351</v>
      </c>
      <c r="F1655" s="168" t="s">
        <v>4623</v>
      </c>
      <c r="G1655" s="168" t="s">
        <v>4623</v>
      </c>
      <c r="H1655" s="292" t="s">
        <v>4623</v>
      </c>
      <c r="I1655" s="293" t="s">
        <v>4623</v>
      </c>
      <c r="J1655" s="293" t="s">
        <v>4623</v>
      </c>
      <c r="K1655" s="290" t="s">
        <v>4623</v>
      </c>
      <c r="L1655" s="290" t="s">
        <v>4623</v>
      </c>
      <c r="M1655" s="290" t="s">
        <v>4623</v>
      </c>
      <c r="N1655" s="290" t="s">
        <v>4623</v>
      </c>
      <c r="O1655" s="290" t="s">
        <v>4623</v>
      </c>
      <c r="P1655" s="290" t="s">
        <v>999</v>
      </c>
      <c r="Q1655" s="291" t="s">
        <v>4623</v>
      </c>
      <c r="R1655" s="276"/>
      <c r="S1655" s="277">
        <f>IF(OR(C1655="",C1655=T$4),NA(),MATCH($B1655&amp;$C1655,'Smelter Reference List'!$J:$J,0))</f>
        <v>442</v>
      </c>
      <c r="T1655" s="278"/>
      <c r="U1655" s="278"/>
      <c r="V1655" s="278"/>
      <c r="W1655" s="278"/>
    </row>
    <row r="1656" spans="1:23" s="269" customFormat="1" ht="20.25">
      <c r="A1656" s="267"/>
      <c r="B1656" s="275" t="s">
        <v>2437</v>
      </c>
      <c r="C1656" s="275" t="s">
        <v>3831</v>
      </c>
      <c r="D1656" s="168" t="s">
        <v>7247</v>
      </c>
      <c r="E1656" s="168" t="s">
        <v>2351</v>
      </c>
      <c r="F1656" s="168" t="s">
        <v>4623</v>
      </c>
      <c r="G1656" s="168" t="s">
        <v>4623</v>
      </c>
      <c r="H1656" s="292" t="s">
        <v>7248</v>
      </c>
      <c r="I1656" s="293" t="s">
        <v>4792</v>
      </c>
      <c r="J1656" s="293" t="s">
        <v>7249</v>
      </c>
      <c r="K1656" s="290" t="s">
        <v>4623</v>
      </c>
      <c r="L1656" s="290" t="s">
        <v>4623</v>
      </c>
      <c r="M1656" s="290" t="s">
        <v>4623</v>
      </c>
      <c r="N1656" s="290" t="s">
        <v>4623</v>
      </c>
      <c r="O1656" s="290" t="s">
        <v>4623</v>
      </c>
      <c r="P1656" s="290" t="s">
        <v>999</v>
      </c>
      <c r="Q1656" s="291" t="s">
        <v>4623</v>
      </c>
      <c r="R1656" s="276"/>
      <c r="S1656" s="277">
        <f>IF(OR(C1656="",C1656=T$4),NA(),MATCH($B1656&amp;$C1656,'Smelter Reference List'!$J:$J,0))</f>
        <v>442</v>
      </c>
      <c r="T1656" s="278"/>
      <c r="U1656" s="278"/>
      <c r="V1656" s="278"/>
      <c r="W1656" s="278"/>
    </row>
    <row r="1657" spans="1:23" s="269" customFormat="1" ht="20.25">
      <c r="A1657" s="267"/>
      <c r="B1657" s="275" t="s">
        <v>2437</v>
      </c>
      <c r="C1657" s="275" t="s">
        <v>3831</v>
      </c>
      <c r="D1657" s="168" t="s">
        <v>5519</v>
      </c>
      <c r="E1657" s="168" t="s">
        <v>2351</v>
      </c>
      <c r="F1657" s="168" t="s">
        <v>4623</v>
      </c>
      <c r="G1657" s="168" t="s">
        <v>4623</v>
      </c>
      <c r="H1657" s="292" t="s">
        <v>5520</v>
      </c>
      <c r="I1657" s="293" t="s">
        <v>5521</v>
      </c>
      <c r="J1657" s="293" t="s">
        <v>3477</v>
      </c>
      <c r="K1657" s="290" t="s">
        <v>5033</v>
      </c>
      <c r="L1657" s="290" t="s">
        <v>5522</v>
      </c>
      <c r="M1657" s="290" t="s">
        <v>4623</v>
      </c>
      <c r="N1657" s="290" t="s">
        <v>5519</v>
      </c>
      <c r="O1657" s="290" t="s">
        <v>4792</v>
      </c>
      <c r="P1657" s="290" t="s">
        <v>999</v>
      </c>
      <c r="Q1657" s="291" t="s">
        <v>4623</v>
      </c>
      <c r="R1657" s="276"/>
      <c r="S1657" s="277">
        <f>IF(OR(C1657="",C1657=T$4),NA(),MATCH($B1657&amp;$C1657,'Smelter Reference List'!$J:$J,0))</f>
        <v>442</v>
      </c>
      <c r="T1657" s="278"/>
      <c r="U1657" s="278"/>
      <c r="V1657" s="278"/>
      <c r="W1657" s="278"/>
    </row>
    <row r="1658" spans="1:23" s="269" customFormat="1" ht="20.25">
      <c r="A1658" s="267"/>
      <c r="B1658" s="275" t="s">
        <v>2437</v>
      </c>
      <c r="C1658" s="275" t="s">
        <v>3831</v>
      </c>
      <c r="D1658" s="168" t="s">
        <v>7250</v>
      </c>
      <c r="E1658" s="168" t="s">
        <v>2351</v>
      </c>
      <c r="F1658" s="168" t="s">
        <v>4623</v>
      </c>
      <c r="G1658" s="168" t="s">
        <v>4623</v>
      </c>
      <c r="H1658" s="292" t="s">
        <v>4623</v>
      </c>
      <c r="I1658" s="293" t="s">
        <v>4623</v>
      </c>
      <c r="J1658" s="293" t="s">
        <v>4623</v>
      </c>
      <c r="K1658" s="290" t="s">
        <v>4623</v>
      </c>
      <c r="L1658" s="290" t="s">
        <v>4623</v>
      </c>
      <c r="M1658" s="290" t="s">
        <v>4623</v>
      </c>
      <c r="N1658" s="290" t="s">
        <v>4623</v>
      </c>
      <c r="O1658" s="290" t="s">
        <v>4623</v>
      </c>
      <c r="P1658" s="290" t="s">
        <v>999</v>
      </c>
      <c r="Q1658" s="291" t="s">
        <v>4623</v>
      </c>
      <c r="R1658" s="276"/>
      <c r="S1658" s="277">
        <f>IF(OR(C1658="",C1658=T$4),NA(),MATCH($B1658&amp;$C1658,'Smelter Reference List'!$J:$J,0))</f>
        <v>442</v>
      </c>
      <c r="T1658" s="278"/>
      <c r="U1658" s="278"/>
      <c r="V1658" s="278"/>
      <c r="W1658" s="278"/>
    </row>
    <row r="1659" spans="1:23" s="269" customFormat="1" ht="20.25">
      <c r="A1659" s="267"/>
      <c r="B1659" s="275" t="s">
        <v>2437</v>
      </c>
      <c r="C1659" s="275" t="s">
        <v>3831</v>
      </c>
      <c r="D1659" s="168" t="s">
        <v>3726</v>
      </c>
      <c r="E1659" s="168" t="s">
        <v>2351</v>
      </c>
      <c r="F1659" s="168" t="s">
        <v>4623</v>
      </c>
      <c r="G1659" s="168" t="s">
        <v>4623</v>
      </c>
      <c r="H1659" s="292" t="s">
        <v>4623</v>
      </c>
      <c r="I1659" s="293" t="s">
        <v>4623</v>
      </c>
      <c r="J1659" s="293" t="s">
        <v>4623</v>
      </c>
      <c r="K1659" s="290" t="s">
        <v>4623</v>
      </c>
      <c r="L1659" s="290" t="s">
        <v>4623</v>
      </c>
      <c r="M1659" s="290" t="s">
        <v>4623</v>
      </c>
      <c r="N1659" s="290" t="s">
        <v>4623</v>
      </c>
      <c r="O1659" s="290" t="s">
        <v>4623</v>
      </c>
      <c r="P1659" s="290" t="s">
        <v>999</v>
      </c>
      <c r="Q1659" s="291" t="s">
        <v>4623</v>
      </c>
      <c r="R1659" s="276"/>
      <c r="S1659" s="277">
        <f>IF(OR(C1659="",C1659=T$4),NA(),MATCH($B1659&amp;$C1659,'Smelter Reference List'!$J:$J,0))</f>
        <v>442</v>
      </c>
      <c r="T1659" s="278"/>
      <c r="U1659" s="278"/>
      <c r="V1659" s="278"/>
      <c r="W1659" s="278"/>
    </row>
    <row r="1660" spans="1:23" s="269" customFormat="1" ht="20.25">
      <c r="A1660" s="267"/>
      <c r="B1660" s="275" t="s">
        <v>2437</v>
      </c>
      <c r="C1660" s="275" t="s">
        <v>3831</v>
      </c>
      <c r="D1660" s="168" t="s">
        <v>4569</v>
      </c>
      <c r="E1660" s="168" t="s">
        <v>2351</v>
      </c>
      <c r="F1660" s="168" t="s">
        <v>4623</v>
      </c>
      <c r="G1660" s="168" t="s">
        <v>4623</v>
      </c>
      <c r="H1660" s="292" t="s">
        <v>5525</v>
      </c>
      <c r="I1660" s="293" t="s">
        <v>7251</v>
      </c>
      <c r="J1660" s="293" t="s">
        <v>7252</v>
      </c>
      <c r="K1660" s="290" t="s">
        <v>5527</v>
      </c>
      <c r="L1660" s="290" t="s">
        <v>4623</v>
      </c>
      <c r="M1660" s="290" t="s">
        <v>4623</v>
      </c>
      <c r="N1660" s="290" t="s">
        <v>4623</v>
      </c>
      <c r="O1660" s="290" t="s">
        <v>6092</v>
      </c>
      <c r="P1660" s="290" t="s">
        <v>999</v>
      </c>
      <c r="Q1660" s="291" t="s">
        <v>4623</v>
      </c>
      <c r="R1660" s="276"/>
      <c r="S1660" s="277">
        <f>IF(OR(C1660="",C1660=T$4),NA(),MATCH($B1660&amp;$C1660,'Smelter Reference List'!$J:$J,0))</f>
        <v>442</v>
      </c>
      <c r="T1660" s="278"/>
      <c r="U1660" s="278"/>
      <c r="V1660" s="278"/>
      <c r="W1660" s="278"/>
    </row>
    <row r="1661" spans="1:23" s="269" customFormat="1" ht="20.25">
      <c r="A1661" s="267"/>
      <c r="B1661" s="275" t="s">
        <v>2437</v>
      </c>
      <c r="C1661" s="275" t="s">
        <v>3831</v>
      </c>
      <c r="D1661" s="168" t="s">
        <v>7253</v>
      </c>
      <c r="E1661" s="168" t="s">
        <v>2351</v>
      </c>
      <c r="F1661" s="168" t="s">
        <v>4623</v>
      </c>
      <c r="G1661" s="168" t="s">
        <v>4623</v>
      </c>
      <c r="H1661" s="292" t="s">
        <v>4623</v>
      </c>
      <c r="I1661" s="293" t="s">
        <v>4623</v>
      </c>
      <c r="J1661" s="293" t="s">
        <v>4623</v>
      </c>
      <c r="K1661" s="290" t="s">
        <v>4623</v>
      </c>
      <c r="L1661" s="290" t="s">
        <v>4623</v>
      </c>
      <c r="M1661" s="290" t="s">
        <v>4623</v>
      </c>
      <c r="N1661" s="290" t="s">
        <v>4623</v>
      </c>
      <c r="O1661" s="290" t="s">
        <v>4623</v>
      </c>
      <c r="P1661" s="290" t="s">
        <v>999</v>
      </c>
      <c r="Q1661" s="291" t="s">
        <v>4623</v>
      </c>
      <c r="R1661" s="276"/>
      <c r="S1661" s="277">
        <f>IF(OR(C1661="",C1661=T$4),NA(),MATCH($B1661&amp;$C1661,'Smelter Reference List'!$J:$J,0))</f>
        <v>442</v>
      </c>
      <c r="T1661" s="278"/>
      <c r="U1661" s="278"/>
      <c r="V1661" s="278"/>
      <c r="W1661" s="278"/>
    </row>
    <row r="1662" spans="1:23" s="269" customFormat="1" ht="20.25">
      <c r="A1662" s="267"/>
      <c r="B1662" s="275" t="s">
        <v>2437</v>
      </c>
      <c r="C1662" s="275" t="s">
        <v>3831</v>
      </c>
      <c r="D1662" s="168" t="s">
        <v>7254</v>
      </c>
      <c r="E1662" s="168" t="s">
        <v>2351</v>
      </c>
      <c r="F1662" s="168" t="s">
        <v>4623</v>
      </c>
      <c r="G1662" s="168" t="s">
        <v>4623</v>
      </c>
      <c r="H1662" s="292" t="s">
        <v>4623</v>
      </c>
      <c r="I1662" s="293" t="s">
        <v>4623</v>
      </c>
      <c r="J1662" s="293" t="s">
        <v>4623</v>
      </c>
      <c r="K1662" s="290" t="s">
        <v>4623</v>
      </c>
      <c r="L1662" s="290" t="s">
        <v>4623</v>
      </c>
      <c r="M1662" s="290" t="s">
        <v>4623</v>
      </c>
      <c r="N1662" s="290" t="s">
        <v>4623</v>
      </c>
      <c r="O1662" s="290" t="s">
        <v>4623</v>
      </c>
      <c r="P1662" s="290" t="s">
        <v>999</v>
      </c>
      <c r="Q1662" s="291" t="s">
        <v>4623</v>
      </c>
      <c r="R1662" s="276"/>
      <c r="S1662" s="277">
        <f>IF(OR(C1662="",C1662=T$4),NA(),MATCH($B1662&amp;$C1662,'Smelter Reference List'!$J:$J,0))</f>
        <v>442</v>
      </c>
      <c r="T1662" s="278"/>
      <c r="U1662" s="278"/>
      <c r="V1662" s="278"/>
      <c r="W1662" s="278"/>
    </row>
    <row r="1663" spans="1:23" s="269" customFormat="1" ht="20.25">
      <c r="A1663" s="267"/>
      <c r="B1663" s="275" t="s">
        <v>2437</v>
      </c>
      <c r="C1663" s="275" t="s">
        <v>3831</v>
      </c>
      <c r="D1663" s="168" t="s">
        <v>7255</v>
      </c>
      <c r="E1663" s="168" t="s">
        <v>2351</v>
      </c>
      <c r="F1663" s="168" t="s">
        <v>4623</v>
      </c>
      <c r="G1663" s="168" t="s">
        <v>4623</v>
      </c>
      <c r="H1663" s="292" t="s">
        <v>4623</v>
      </c>
      <c r="I1663" s="293" t="s">
        <v>4623</v>
      </c>
      <c r="J1663" s="293" t="s">
        <v>4623</v>
      </c>
      <c r="K1663" s="290" t="s">
        <v>4623</v>
      </c>
      <c r="L1663" s="290" t="s">
        <v>4623</v>
      </c>
      <c r="M1663" s="290" t="s">
        <v>4623</v>
      </c>
      <c r="N1663" s="290" t="s">
        <v>4623</v>
      </c>
      <c r="O1663" s="290" t="s">
        <v>4623</v>
      </c>
      <c r="P1663" s="290" t="s">
        <v>999</v>
      </c>
      <c r="Q1663" s="291" t="s">
        <v>4623</v>
      </c>
      <c r="R1663" s="276"/>
      <c r="S1663" s="277">
        <f>IF(OR(C1663="",C1663=T$4),NA(),MATCH($B1663&amp;$C1663,'Smelter Reference List'!$J:$J,0))</f>
        <v>442</v>
      </c>
      <c r="T1663" s="278"/>
      <c r="U1663" s="278"/>
      <c r="V1663" s="278"/>
      <c r="W1663" s="278"/>
    </row>
    <row r="1664" spans="1:23" s="269" customFormat="1" ht="20.25">
      <c r="A1664" s="267"/>
      <c r="B1664" s="275" t="s">
        <v>2437</v>
      </c>
      <c r="C1664" s="275" t="s">
        <v>3831</v>
      </c>
      <c r="D1664" s="168" t="s">
        <v>5602</v>
      </c>
      <c r="E1664" s="168" t="s">
        <v>2351</v>
      </c>
      <c r="F1664" s="168" t="s">
        <v>4623</v>
      </c>
      <c r="G1664" s="168" t="s">
        <v>4623</v>
      </c>
      <c r="H1664" s="292" t="s">
        <v>4623</v>
      </c>
      <c r="I1664" s="293" t="s">
        <v>4623</v>
      </c>
      <c r="J1664" s="293" t="s">
        <v>4623</v>
      </c>
      <c r="K1664" s="290" t="s">
        <v>4623</v>
      </c>
      <c r="L1664" s="290" t="s">
        <v>4623</v>
      </c>
      <c r="M1664" s="290" t="s">
        <v>4623</v>
      </c>
      <c r="N1664" s="290" t="s">
        <v>4623</v>
      </c>
      <c r="O1664" s="290" t="s">
        <v>4623</v>
      </c>
      <c r="P1664" s="290" t="s">
        <v>999</v>
      </c>
      <c r="Q1664" s="291" t="s">
        <v>4623</v>
      </c>
      <c r="R1664" s="276"/>
      <c r="S1664" s="277">
        <f>IF(OR(C1664="",C1664=T$4),NA(),MATCH($B1664&amp;$C1664,'Smelter Reference List'!$J:$J,0))</f>
        <v>442</v>
      </c>
      <c r="T1664" s="278"/>
      <c r="U1664" s="278"/>
      <c r="V1664" s="278"/>
      <c r="W1664" s="278"/>
    </row>
    <row r="1665" spans="1:23" s="269" customFormat="1" ht="20.25">
      <c r="A1665" s="267"/>
      <c r="B1665" s="275" t="s">
        <v>2437</v>
      </c>
      <c r="C1665" s="275" t="s">
        <v>3831</v>
      </c>
      <c r="D1665" s="168" t="s">
        <v>7256</v>
      </c>
      <c r="E1665" s="168" t="s">
        <v>2351</v>
      </c>
      <c r="F1665" s="168" t="s">
        <v>4623</v>
      </c>
      <c r="G1665" s="168" t="s">
        <v>4623</v>
      </c>
      <c r="H1665" s="292" t="s">
        <v>4623</v>
      </c>
      <c r="I1665" s="293" t="s">
        <v>4623</v>
      </c>
      <c r="J1665" s="293" t="s">
        <v>4623</v>
      </c>
      <c r="K1665" s="290" t="s">
        <v>4623</v>
      </c>
      <c r="L1665" s="290" t="s">
        <v>4623</v>
      </c>
      <c r="M1665" s="290" t="s">
        <v>4623</v>
      </c>
      <c r="N1665" s="290" t="s">
        <v>4623</v>
      </c>
      <c r="O1665" s="290" t="s">
        <v>4623</v>
      </c>
      <c r="P1665" s="290" t="s">
        <v>999</v>
      </c>
      <c r="Q1665" s="291" t="s">
        <v>4623</v>
      </c>
      <c r="R1665" s="276"/>
      <c r="S1665" s="277">
        <f>IF(OR(C1665="",C1665=T$4),NA(),MATCH($B1665&amp;$C1665,'Smelter Reference List'!$J:$J,0))</f>
        <v>442</v>
      </c>
      <c r="T1665" s="278"/>
      <c r="U1665" s="278"/>
      <c r="V1665" s="278"/>
      <c r="W1665" s="278"/>
    </row>
    <row r="1666" spans="1:23" s="269" customFormat="1" ht="20.25">
      <c r="A1666" s="267"/>
      <c r="B1666" s="275" t="s">
        <v>2437</v>
      </c>
      <c r="C1666" s="275" t="s">
        <v>3831</v>
      </c>
      <c r="D1666" s="168" t="s">
        <v>7257</v>
      </c>
      <c r="E1666" s="168" t="s">
        <v>2351</v>
      </c>
      <c r="F1666" s="168" t="s">
        <v>4623</v>
      </c>
      <c r="G1666" s="168" t="s">
        <v>4623</v>
      </c>
      <c r="H1666" s="292" t="s">
        <v>4623</v>
      </c>
      <c r="I1666" s="293" t="s">
        <v>4623</v>
      </c>
      <c r="J1666" s="293" t="s">
        <v>4623</v>
      </c>
      <c r="K1666" s="290" t="s">
        <v>4623</v>
      </c>
      <c r="L1666" s="290" t="s">
        <v>4623</v>
      </c>
      <c r="M1666" s="290" t="s">
        <v>4623</v>
      </c>
      <c r="N1666" s="290" t="s">
        <v>4623</v>
      </c>
      <c r="O1666" s="290" t="s">
        <v>4623</v>
      </c>
      <c r="P1666" s="290" t="s">
        <v>999</v>
      </c>
      <c r="Q1666" s="291" t="s">
        <v>4623</v>
      </c>
      <c r="R1666" s="276"/>
      <c r="S1666" s="277">
        <f>IF(OR(C1666="",C1666=T$4),NA(),MATCH($B1666&amp;$C1666,'Smelter Reference List'!$J:$J,0))</f>
        <v>442</v>
      </c>
      <c r="T1666" s="278"/>
      <c r="U1666" s="278"/>
      <c r="V1666" s="278"/>
      <c r="W1666" s="278"/>
    </row>
    <row r="1667" spans="1:23" s="269" customFormat="1" ht="20.25">
      <c r="A1667" s="267"/>
      <c r="B1667" s="275" t="s">
        <v>2437</v>
      </c>
      <c r="C1667" s="275" t="s">
        <v>3831</v>
      </c>
      <c r="D1667" s="168" t="s">
        <v>7258</v>
      </c>
      <c r="E1667" s="168" t="s">
        <v>2351</v>
      </c>
      <c r="F1667" s="168" t="s">
        <v>4623</v>
      </c>
      <c r="G1667" s="168" t="s">
        <v>4623</v>
      </c>
      <c r="H1667" s="292" t="s">
        <v>4623</v>
      </c>
      <c r="I1667" s="293" t="s">
        <v>4623</v>
      </c>
      <c r="J1667" s="293" t="s">
        <v>4623</v>
      </c>
      <c r="K1667" s="290" t="s">
        <v>4623</v>
      </c>
      <c r="L1667" s="290" t="s">
        <v>4623</v>
      </c>
      <c r="M1667" s="290" t="s">
        <v>4623</v>
      </c>
      <c r="N1667" s="290" t="s">
        <v>4623</v>
      </c>
      <c r="O1667" s="290" t="s">
        <v>4623</v>
      </c>
      <c r="P1667" s="290" t="s">
        <v>999</v>
      </c>
      <c r="Q1667" s="291" t="s">
        <v>4623</v>
      </c>
      <c r="R1667" s="276"/>
      <c r="S1667" s="277">
        <f>IF(OR(C1667="",C1667=T$4),NA(),MATCH($B1667&amp;$C1667,'Smelter Reference List'!$J:$J,0))</f>
        <v>442</v>
      </c>
      <c r="T1667" s="278"/>
      <c r="U1667" s="278"/>
      <c r="V1667" s="278"/>
      <c r="W1667" s="278"/>
    </row>
    <row r="1668" spans="1:23" s="269" customFormat="1" ht="20.25">
      <c r="A1668" s="267"/>
      <c r="B1668" s="275" t="s">
        <v>2437</v>
      </c>
      <c r="C1668" s="275" t="s">
        <v>3831</v>
      </c>
      <c r="D1668" s="168" t="s">
        <v>7259</v>
      </c>
      <c r="E1668" s="168" t="s">
        <v>2351</v>
      </c>
      <c r="F1668" s="168" t="s">
        <v>4623</v>
      </c>
      <c r="G1668" s="168" t="s">
        <v>4623</v>
      </c>
      <c r="H1668" s="292" t="s">
        <v>4623</v>
      </c>
      <c r="I1668" s="293" t="s">
        <v>4623</v>
      </c>
      <c r="J1668" s="293" t="s">
        <v>4623</v>
      </c>
      <c r="K1668" s="290" t="s">
        <v>4623</v>
      </c>
      <c r="L1668" s="290" t="s">
        <v>4623</v>
      </c>
      <c r="M1668" s="290" t="s">
        <v>4623</v>
      </c>
      <c r="N1668" s="290" t="s">
        <v>4623</v>
      </c>
      <c r="O1668" s="290" t="s">
        <v>4623</v>
      </c>
      <c r="P1668" s="290" t="s">
        <v>999</v>
      </c>
      <c r="Q1668" s="291" t="s">
        <v>4623</v>
      </c>
      <c r="R1668" s="276"/>
      <c r="S1668" s="277">
        <f>IF(OR(C1668="",C1668=T$4),NA(),MATCH($B1668&amp;$C1668,'Smelter Reference List'!$J:$J,0))</f>
        <v>442</v>
      </c>
      <c r="T1668" s="278"/>
      <c r="U1668" s="278"/>
      <c r="V1668" s="278"/>
      <c r="W1668" s="278"/>
    </row>
    <row r="1669" spans="1:23" s="269" customFormat="1" ht="20.25">
      <c r="A1669" s="267"/>
      <c r="B1669" s="275" t="s">
        <v>2437</v>
      </c>
      <c r="C1669" s="275" t="s">
        <v>3831</v>
      </c>
      <c r="D1669" s="168" t="s">
        <v>7260</v>
      </c>
      <c r="E1669" s="168" t="s">
        <v>2351</v>
      </c>
      <c r="F1669" s="168" t="s">
        <v>4623</v>
      </c>
      <c r="G1669" s="168" t="s">
        <v>4623</v>
      </c>
      <c r="H1669" s="292" t="s">
        <v>4623</v>
      </c>
      <c r="I1669" s="293" t="s">
        <v>4623</v>
      </c>
      <c r="J1669" s="293" t="s">
        <v>4623</v>
      </c>
      <c r="K1669" s="290" t="s">
        <v>4623</v>
      </c>
      <c r="L1669" s="290" t="s">
        <v>4623</v>
      </c>
      <c r="M1669" s="290" t="s">
        <v>6377</v>
      </c>
      <c r="N1669" s="290" t="s">
        <v>5000</v>
      </c>
      <c r="O1669" s="290" t="s">
        <v>5000</v>
      </c>
      <c r="P1669" s="290" t="s">
        <v>999</v>
      </c>
      <c r="Q1669" s="291" t="s">
        <v>4623</v>
      </c>
      <c r="R1669" s="276"/>
      <c r="S1669" s="277">
        <f>IF(OR(C1669="",C1669=T$4),NA(),MATCH($B1669&amp;$C1669,'Smelter Reference List'!$J:$J,0))</f>
        <v>442</v>
      </c>
      <c r="T1669" s="278"/>
      <c r="U1669" s="278"/>
      <c r="V1669" s="278"/>
      <c r="W1669" s="278"/>
    </row>
    <row r="1670" spans="1:23" s="269" customFormat="1" ht="20.25">
      <c r="A1670" s="267"/>
      <c r="B1670" s="275" t="s">
        <v>2437</v>
      </c>
      <c r="C1670" s="275" t="s">
        <v>3831</v>
      </c>
      <c r="D1670" s="168" t="s">
        <v>7261</v>
      </c>
      <c r="E1670" s="168" t="s">
        <v>2351</v>
      </c>
      <c r="F1670" s="168" t="s">
        <v>4623</v>
      </c>
      <c r="G1670" s="168" t="s">
        <v>4623</v>
      </c>
      <c r="H1670" s="292" t="s">
        <v>4623</v>
      </c>
      <c r="I1670" s="293" t="s">
        <v>4623</v>
      </c>
      <c r="J1670" s="293" t="s">
        <v>4623</v>
      </c>
      <c r="K1670" s="290" t="s">
        <v>4623</v>
      </c>
      <c r="L1670" s="290" t="s">
        <v>4623</v>
      </c>
      <c r="M1670" s="290" t="s">
        <v>4623</v>
      </c>
      <c r="N1670" s="290" t="s">
        <v>4623</v>
      </c>
      <c r="O1670" s="290" t="s">
        <v>4623</v>
      </c>
      <c r="P1670" s="290" t="s">
        <v>999</v>
      </c>
      <c r="Q1670" s="291" t="s">
        <v>4623</v>
      </c>
      <c r="R1670" s="276"/>
      <c r="S1670" s="277">
        <f>IF(OR(C1670="",C1670=T$4),NA(),MATCH($B1670&amp;$C1670,'Smelter Reference List'!$J:$J,0))</f>
        <v>442</v>
      </c>
      <c r="T1670" s="278"/>
      <c r="U1670" s="278"/>
      <c r="V1670" s="278"/>
      <c r="W1670" s="278"/>
    </row>
    <row r="1671" spans="1:23" s="269" customFormat="1" ht="20.25">
      <c r="A1671" s="267"/>
      <c r="B1671" s="275" t="s">
        <v>2437</v>
      </c>
      <c r="C1671" s="275" t="s">
        <v>3831</v>
      </c>
      <c r="D1671" s="168" t="s">
        <v>7262</v>
      </c>
      <c r="E1671" s="168" t="s">
        <v>2351</v>
      </c>
      <c r="F1671" s="168" t="s">
        <v>4623</v>
      </c>
      <c r="G1671" s="168" t="s">
        <v>4623</v>
      </c>
      <c r="H1671" s="292" t="s">
        <v>4623</v>
      </c>
      <c r="I1671" s="293" t="s">
        <v>4623</v>
      </c>
      <c r="J1671" s="293" t="s">
        <v>4623</v>
      </c>
      <c r="K1671" s="290" t="s">
        <v>4623</v>
      </c>
      <c r="L1671" s="290" t="s">
        <v>4623</v>
      </c>
      <c r="M1671" s="290" t="s">
        <v>4623</v>
      </c>
      <c r="N1671" s="290" t="s">
        <v>4623</v>
      </c>
      <c r="O1671" s="290" t="s">
        <v>4623</v>
      </c>
      <c r="P1671" s="290" t="s">
        <v>999</v>
      </c>
      <c r="Q1671" s="291" t="s">
        <v>4623</v>
      </c>
      <c r="R1671" s="276"/>
      <c r="S1671" s="277">
        <f>IF(OR(C1671="",C1671=T$4),NA(),MATCH($B1671&amp;$C1671,'Smelter Reference List'!$J:$J,0))</f>
        <v>442</v>
      </c>
      <c r="T1671" s="278"/>
      <c r="U1671" s="278"/>
      <c r="V1671" s="278"/>
      <c r="W1671" s="278"/>
    </row>
    <row r="1672" spans="1:23" s="269" customFormat="1" ht="20.25">
      <c r="A1672" s="267"/>
      <c r="B1672" s="275" t="s">
        <v>2437</v>
      </c>
      <c r="C1672" s="275" t="s">
        <v>3831</v>
      </c>
      <c r="D1672" s="168" t="s">
        <v>7263</v>
      </c>
      <c r="E1672" s="168" t="s">
        <v>2351</v>
      </c>
      <c r="F1672" s="168" t="s">
        <v>4623</v>
      </c>
      <c r="G1672" s="168" t="s">
        <v>4623</v>
      </c>
      <c r="H1672" s="292" t="s">
        <v>4623</v>
      </c>
      <c r="I1672" s="293" t="s">
        <v>4623</v>
      </c>
      <c r="J1672" s="293" t="s">
        <v>4623</v>
      </c>
      <c r="K1672" s="290" t="s">
        <v>4623</v>
      </c>
      <c r="L1672" s="290" t="s">
        <v>4623</v>
      </c>
      <c r="M1672" s="290" t="s">
        <v>4623</v>
      </c>
      <c r="N1672" s="290" t="s">
        <v>4623</v>
      </c>
      <c r="O1672" s="290" t="s">
        <v>4623</v>
      </c>
      <c r="P1672" s="290" t="s">
        <v>999</v>
      </c>
      <c r="Q1672" s="291" t="s">
        <v>4623</v>
      </c>
      <c r="R1672" s="276"/>
      <c r="S1672" s="277">
        <f>IF(OR(C1672="",C1672=T$4),NA(),MATCH($B1672&amp;$C1672,'Smelter Reference List'!$J:$J,0))</f>
        <v>442</v>
      </c>
      <c r="T1672" s="278"/>
      <c r="U1672" s="278"/>
      <c r="V1672" s="278"/>
      <c r="W1672" s="278"/>
    </row>
    <row r="1673" spans="1:23" s="269" customFormat="1" ht="20.25">
      <c r="A1673" s="267"/>
      <c r="B1673" s="275" t="s">
        <v>2437</v>
      </c>
      <c r="C1673" s="275" t="s">
        <v>3831</v>
      </c>
      <c r="D1673" s="168" t="s">
        <v>7264</v>
      </c>
      <c r="E1673" s="168" t="s">
        <v>2351</v>
      </c>
      <c r="F1673" s="168" t="s">
        <v>4623</v>
      </c>
      <c r="G1673" s="168" t="s">
        <v>4623</v>
      </c>
      <c r="H1673" s="292" t="s">
        <v>4623</v>
      </c>
      <c r="I1673" s="293" t="s">
        <v>4623</v>
      </c>
      <c r="J1673" s="293" t="s">
        <v>4623</v>
      </c>
      <c r="K1673" s="290" t="s">
        <v>4623</v>
      </c>
      <c r="L1673" s="290" t="s">
        <v>4623</v>
      </c>
      <c r="M1673" s="290" t="s">
        <v>4623</v>
      </c>
      <c r="N1673" s="290" t="s">
        <v>4623</v>
      </c>
      <c r="O1673" s="290" t="s">
        <v>4623</v>
      </c>
      <c r="P1673" s="290" t="s">
        <v>999</v>
      </c>
      <c r="Q1673" s="291" t="s">
        <v>4623</v>
      </c>
      <c r="R1673" s="276"/>
      <c r="S1673" s="277">
        <f>IF(OR(C1673="",C1673=T$4),NA(),MATCH($B1673&amp;$C1673,'Smelter Reference List'!$J:$J,0))</f>
        <v>442</v>
      </c>
      <c r="T1673" s="278"/>
      <c r="U1673" s="278"/>
      <c r="V1673" s="278"/>
      <c r="W1673" s="278"/>
    </row>
    <row r="1674" spans="1:23" s="269" customFormat="1" ht="20.25">
      <c r="A1674" s="267"/>
      <c r="B1674" s="275" t="s">
        <v>2437</v>
      </c>
      <c r="C1674" s="275" t="s">
        <v>3831</v>
      </c>
      <c r="D1674" s="168" t="s">
        <v>7265</v>
      </c>
      <c r="E1674" s="168" t="s">
        <v>2351</v>
      </c>
      <c r="F1674" s="168" t="s">
        <v>4623</v>
      </c>
      <c r="G1674" s="168" t="s">
        <v>4623</v>
      </c>
      <c r="H1674" s="292" t="s">
        <v>4623</v>
      </c>
      <c r="I1674" s="293" t="s">
        <v>4623</v>
      </c>
      <c r="J1674" s="293" t="s">
        <v>4623</v>
      </c>
      <c r="K1674" s="290" t="s">
        <v>4623</v>
      </c>
      <c r="L1674" s="290" t="s">
        <v>4623</v>
      </c>
      <c r="M1674" s="290" t="s">
        <v>4623</v>
      </c>
      <c r="N1674" s="290" t="s">
        <v>4623</v>
      </c>
      <c r="O1674" s="290" t="s">
        <v>4792</v>
      </c>
      <c r="P1674" s="290" t="s">
        <v>999</v>
      </c>
      <c r="Q1674" s="291" t="s">
        <v>4623</v>
      </c>
      <c r="R1674" s="276"/>
      <c r="S1674" s="277">
        <f>IF(OR(C1674="",C1674=T$4),NA(),MATCH($B1674&amp;$C1674,'Smelter Reference List'!$J:$J,0))</f>
        <v>442</v>
      </c>
      <c r="T1674" s="278"/>
      <c r="U1674" s="278"/>
      <c r="V1674" s="278"/>
      <c r="W1674" s="278"/>
    </row>
    <row r="1675" spans="1:23" s="269" customFormat="1" ht="20.25">
      <c r="A1675" s="267"/>
      <c r="B1675" s="275" t="s">
        <v>2437</v>
      </c>
      <c r="C1675" s="275" t="s">
        <v>3831</v>
      </c>
      <c r="D1675" s="168" t="s">
        <v>4791</v>
      </c>
      <c r="E1675" s="168" t="s">
        <v>2351</v>
      </c>
      <c r="F1675" s="168" t="s">
        <v>4623</v>
      </c>
      <c r="G1675" s="168" t="s">
        <v>4623</v>
      </c>
      <c r="H1675" s="292" t="s">
        <v>4623</v>
      </c>
      <c r="I1675" s="293" t="s">
        <v>4623</v>
      </c>
      <c r="J1675" s="293" t="s">
        <v>4623</v>
      </c>
      <c r="K1675" s="290" t="s">
        <v>4623</v>
      </c>
      <c r="L1675" s="290" t="s">
        <v>4623</v>
      </c>
      <c r="M1675" s="290" t="s">
        <v>4623</v>
      </c>
      <c r="N1675" s="290" t="s">
        <v>4623</v>
      </c>
      <c r="O1675" s="290" t="s">
        <v>4623</v>
      </c>
      <c r="P1675" s="290" t="s">
        <v>999</v>
      </c>
      <c r="Q1675" s="291" t="s">
        <v>4623</v>
      </c>
      <c r="R1675" s="276"/>
      <c r="S1675" s="277">
        <f>IF(OR(C1675="",C1675=T$4),NA(),MATCH($B1675&amp;$C1675,'Smelter Reference List'!$J:$J,0))</f>
        <v>442</v>
      </c>
      <c r="T1675" s="278"/>
      <c r="U1675" s="278"/>
      <c r="V1675" s="278"/>
      <c r="W1675" s="278"/>
    </row>
    <row r="1676" spans="1:23" s="269" customFormat="1" ht="20.25">
      <c r="A1676" s="267"/>
      <c r="B1676" s="275" t="s">
        <v>2437</v>
      </c>
      <c r="C1676" s="275" t="s">
        <v>3831</v>
      </c>
      <c r="D1676" s="168" t="s">
        <v>7266</v>
      </c>
      <c r="E1676" s="168" t="s">
        <v>2351</v>
      </c>
      <c r="F1676" s="168" t="s">
        <v>7267</v>
      </c>
      <c r="G1676" s="168" t="s">
        <v>3324</v>
      </c>
      <c r="H1676" s="292" t="s">
        <v>4623</v>
      </c>
      <c r="I1676" s="293" t="s">
        <v>4623</v>
      </c>
      <c r="J1676" s="293" t="s">
        <v>4623</v>
      </c>
      <c r="K1676" s="290" t="s">
        <v>4623</v>
      </c>
      <c r="L1676" s="290" t="s">
        <v>4623</v>
      </c>
      <c r="M1676" s="290" t="s">
        <v>4623</v>
      </c>
      <c r="N1676" s="290" t="s">
        <v>4623</v>
      </c>
      <c r="O1676" s="290" t="s">
        <v>4623</v>
      </c>
      <c r="P1676" s="290" t="s">
        <v>999</v>
      </c>
      <c r="Q1676" s="291" t="s">
        <v>4623</v>
      </c>
      <c r="R1676" s="276"/>
      <c r="S1676" s="277">
        <f>IF(OR(C1676="",C1676=T$4),NA(),MATCH($B1676&amp;$C1676,'Smelter Reference List'!$J:$J,0))</f>
        <v>442</v>
      </c>
      <c r="T1676" s="278"/>
      <c r="U1676" s="278"/>
      <c r="V1676" s="278"/>
      <c r="W1676" s="278"/>
    </row>
    <row r="1677" spans="1:23" s="269" customFormat="1" ht="20.25">
      <c r="A1677" s="267"/>
      <c r="B1677" s="275" t="s">
        <v>2437</v>
      </c>
      <c r="C1677" s="275" t="s">
        <v>3831</v>
      </c>
      <c r="D1677" s="168" t="s">
        <v>7268</v>
      </c>
      <c r="E1677" s="168" t="s">
        <v>2351</v>
      </c>
      <c r="F1677" s="168" t="s">
        <v>4623</v>
      </c>
      <c r="G1677" s="168" t="s">
        <v>4623</v>
      </c>
      <c r="H1677" s="292" t="s">
        <v>4623</v>
      </c>
      <c r="I1677" s="293" t="s">
        <v>4623</v>
      </c>
      <c r="J1677" s="293" t="s">
        <v>4623</v>
      </c>
      <c r="K1677" s="290" t="s">
        <v>4623</v>
      </c>
      <c r="L1677" s="290" t="s">
        <v>4623</v>
      </c>
      <c r="M1677" s="290" t="s">
        <v>4623</v>
      </c>
      <c r="N1677" s="290" t="s">
        <v>4623</v>
      </c>
      <c r="O1677" s="290" t="s">
        <v>4623</v>
      </c>
      <c r="P1677" s="290" t="s">
        <v>999</v>
      </c>
      <c r="Q1677" s="291" t="s">
        <v>4623</v>
      </c>
      <c r="R1677" s="276"/>
      <c r="S1677" s="277">
        <f>IF(OR(C1677="",C1677=T$4),NA(),MATCH($B1677&amp;$C1677,'Smelter Reference List'!$J:$J,0))</f>
        <v>442</v>
      </c>
      <c r="T1677" s="278"/>
      <c r="U1677" s="278"/>
      <c r="V1677" s="278"/>
      <c r="W1677" s="278"/>
    </row>
    <row r="1678" spans="1:23" s="269" customFormat="1" ht="20.25">
      <c r="A1678" s="267"/>
      <c r="B1678" s="275" t="s">
        <v>2437</v>
      </c>
      <c r="C1678" s="275" t="s">
        <v>3831</v>
      </c>
      <c r="D1678" s="168" t="s">
        <v>7269</v>
      </c>
      <c r="E1678" s="168" t="s">
        <v>2351</v>
      </c>
      <c r="F1678" s="168" t="s">
        <v>4623</v>
      </c>
      <c r="G1678" s="168" t="s">
        <v>4623</v>
      </c>
      <c r="H1678" s="292" t="s">
        <v>4623</v>
      </c>
      <c r="I1678" s="293" t="s">
        <v>4623</v>
      </c>
      <c r="J1678" s="293" t="s">
        <v>4623</v>
      </c>
      <c r="K1678" s="290" t="s">
        <v>4623</v>
      </c>
      <c r="L1678" s="290" t="s">
        <v>4623</v>
      </c>
      <c r="M1678" s="290" t="s">
        <v>4623</v>
      </c>
      <c r="N1678" s="290" t="s">
        <v>4623</v>
      </c>
      <c r="O1678" s="290" t="s">
        <v>4623</v>
      </c>
      <c r="P1678" s="290" t="s">
        <v>999</v>
      </c>
      <c r="Q1678" s="291" t="s">
        <v>4623</v>
      </c>
      <c r="R1678" s="276"/>
      <c r="S1678" s="277">
        <f>IF(OR(C1678="",C1678=T$4),NA(),MATCH($B1678&amp;$C1678,'Smelter Reference List'!$J:$J,0))</f>
        <v>442</v>
      </c>
      <c r="T1678" s="278"/>
      <c r="U1678" s="278"/>
      <c r="V1678" s="278"/>
      <c r="W1678" s="278"/>
    </row>
    <row r="1679" spans="1:23" s="269" customFormat="1" ht="20.25">
      <c r="A1679" s="267"/>
      <c r="B1679" s="275" t="s">
        <v>2437</v>
      </c>
      <c r="C1679" s="275" t="s">
        <v>3831</v>
      </c>
      <c r="D1679" s="168" t="s">
        <v>7270</v>
      </c>
      <c r="E1679" s="168" t="s">
        <v>2351</v>
      </c>
      <c r="F1679" s="168" t="s">
        <v>4623</v>
      </c>
      <c r="G1679" s="168" t="s">
        <v>4623</v>
      </c>
      <c r="H1679" s="292" t="s">
        <v>4623</v>
      </c>
      <c r="I1679" s="293" t="s">
        <v>4623</v>
      </c>
      <c r="J1679" s="293" t="s">
        <v>4623</v>
      </c>
      <c r="K1679" s="290" t="s">
        <v>4623</v>
      </c>
      <c r="L1679" s="290" t="s">
        <v>4623</v>
      </c>
      <c r="M1679" s="290" t="s">
        <v>4623</v>
      </c>
      <c r="N1679" s="290" t="s">
        <v>4623</v>
      </c>
      <c r="O1679" s="290" t="s">
        <v>4623</v>
      </c>
      <c r="P1679" s="290" t="s">
        <v>999</v>
      </c>
      <c r="Q1679" s="291" t="s">
        <v>4623</v>
      </c>
      <c r="R1679" s="276"/>
      <c r="S1679" s="277">
        <f>IF(OR(C1679="",C1679=T$4),NA(),MATCH($B1679&amp;$C1679,'Smelter Reference List'!$J:$J,0))</f>
        <v>442</v>
      </c>
      <c r="T1679" s="278"/>
      <c r="U1679" s="278"/>
      <c r="V1679" s="278"/>
      <c r="W1679" s="278"/>
    </row>
    <row r="1680" spans="1:23" s="269" customFormat="1" ht="20.25">
      <c r="A1680" s="267"/>
      <c r="B1680" s="275" t="s">
        <v>2437</v>
      </c>
      <c r="C1680" s="275" t="s">
        <v>3831</v>
      </c>
      <c r="D1680" s="168" t="s">
        <v>7271</v>
      </c>
      <c r="E1680" s="168" t="s">
        <v>2351</v>
      </c>
      <c r="F1680" s="168" t="s">
        <v>4623</v>
      </c>
      <c r="G1680" s="168" t="s">
        <v>4623</v>
      </c>
      <c r="H1680" s="292" t="s">
        <v>4623</v>
      </c>
      <c r="I1680" s="293" t="s">
        <v>4623</v>
      </c>
      <c r="J1680" s="293" t="s">
        <v>4623</v>
      </c>
      <c r="K1680" s="290" t="s">
        <v>4623</v>
      </c>
      <c r="L1680" s="290" t="s">
        <v>4623</v>
      </c>
      <c r="M1680" s="290" t="s">
        <v>4623</v>
      </c>
      <c r="N1680" s="290" t="s">
        <v>4623</v>
      </c>
      <c r="O1680" s="290" t="s">
        <v>4623</v>
      </c>
      <c r="P1680" s="290" t="s">
        <v>999</v>
      </c>
      <c r="Q1680" s="291" t="s">
        <v>4623</v>
      </c>
      <c r="R1680" s="276"/>
      <c r="S1680" s="277">
        <f>IF(OR(C1680="",C1680=T$4),NA(),MATCH($B1680&amp;$C1680,'Smelter Reference List'!$J:$J,0))</f>
        <v>442</v>
      </c>
      <c r="T1680" s="278"/>
      <c r="U1680" s="278"/>
      <c r="V1680" s="278"/>
      <c r="W1680" s="278"/>
    </row>
    <row r="1681" spans="1:23" s="269" customFormat="1" ht="20.25">
      <c r="A1681" s="267"/>
      <c r="B1681" s="275" t="s">
        <v>2437</v>
      </c>
      <c r="C1681" s="275" t="s">
        <v>3831</v>
      </c>
      <c r="D1681" s="168" t="s">
        <v>7272</v>
      </c>
      <c r="E1681" s="168" t="s">
        <v>2351</v>
      </c>
      <c r="F1681" s="168" t="s">
        <v>4623</v>
      </c>
      <c r="G1681" s="168" t="s">
        <v>4623</v>
      </c>
      <c r="H1681" s="292" t="s">
        <v>4623</v>
      </c>
      <c r="I1681" s="293" t="s">
        <v>4623</v>
      </c>
      <c r="J1681" s="293" t="s">
        <v>4623</v>
      </c>
      <c r="K1681" s="290" t="s">
        <v>4623</v>
      </c>
      <c r="L1681" s="290" t="s">
        <v>4623</v>
      </c>
      <c r="M1681" s="290" t="s">
        <v>4623</v>
      </c>
      <c r="N1681" s="290" t="s">
        <v>4623</v>
      </c>
      <c r="O1681" s="290" t="s">
        <v>4623</v>
      </c>
      <c r="P1681" s="290" t="s">
        <v>999</v>
      </c>
      <c r="Q1681" s="291" t="s">
        <v>4623</v>
      </c>
      <c r="R1681" s="276"/>
      <c r="S1681" s="277">
        <f>IF(OR(C1681="",C1681=T$4),NA(),MATCH($B1681&amp;$C1681,'Smelter Reference List'!$J:$J,0))</f>
        <v>442</v>
      </c>
      <c r="T1681" s="278"/>
      <c r="U1681" s="278"/>
      <c r="V1681" s="278"/>
      <c r="W1681" s="278"/>
    </row>
    <row r="1682" spans="1:23" s="269" customFormat="1" ht="20.25">
      <c r="A1682" s="267"/>
      <c r="B1682" s="275" t="s">
        <v>2437</v>
      </c>
      <c r="C1682" s="275" t="s">
        <v>3831</v>
      </c>
      <c r="D1682" s="168" t="s">
        <v>7273</v>
      </c>
      <c r="E1682" s="168" t="s">
        <v>2351</v>
      </c>
      <c r="F1682" s="168" t="s">
        <v>4623</v>
      </c>
      <c r="G1682" s="168" t="s">
        <v>4623</v>
      </c>
      <c r="H1682" s="292" t="s">
        <v>4623</v>
      </c>
      <c r="I1682" s="293" t="s">
        <v>4623</v>
      </c>
      <c r="J1682" s="293" t="s">
        <v>4623</v>
      </c>
      <c r="K1682" s="290" t="s">
        <v>4623</v>
      </c>
      <c r="L1682" s="290" t="s">
        <v>4623</v>
      </c>
      <c r="M1682" s="290" t="s">
        <v>4623</v>
      </c>
      <c r="N1682" s="290" t="s">
        <v>4623</v>
      </c>
      <c r="O1682" s="290" t="s">
        <v>4623</v>
      </c>
      <c r="P1682" s="290" t="s">
        <v>999</v>
      </c>
      <c r="Q1682" s="291" t="s">
        <v>4623</v>
      </c>
      <c r="R1682" s="276"/>
      <c r="S1682" s="277">
        <f>IF(OR(C1682="",C1682=T$4),NA(),MATCH($B1682&amp;$C1682,'Smelter Reference List'!$J:$J,0))</f>
        <v>442</v>
      </c>
      <c r="T1682" s="278"/>
      <c r="U1682" s="278"/>
      <c r="V1682" s="278"/>
      <c r="W1682" s="278"/>
    </row>
    <row r="1683" spans="1:23" s="269" customFormat="1" ht="20.25">
      <c r="A1683" s="267"/>
      <c r="B1683" s="275" t="s">
        <v>2437</v>
      </c>
      <c r="C1683" s="275" t="s">
        <v>3831</v>
      </c>
      <c r="D1683" s="168" t="s">
        <v>7274</v>
      </c>
      <c r="E1683" s="168" t="s">
        <v>2351</v>
      </c>
      <c r="F1683" s="168" t="s">
        <v>7275</v>
      </c>
      <c r="G1683" s="168" t="s">
        <v>3324</v>
      </c>
      <c r="H1683" s="292" t="s">
        <v>4623</v>
      </c>
      <c r="I1683" s="293" t="s">
        <v>4623</v>
      </c>
      <c r="J1683" s="293" t="s">
        <v>4623</v>
      </c>
      <c r="K1683" s="290" t="s">
        <v>4623</v>
      </c>
      <c r="L1683" s="290" t="s">
        <v>4623</v>
      </c>
      <c r="M1683" s="290" t="s">
        <v>4623</v>
      </c>
      <c r="N1683" s="290" t="s">
        <v>4623</v>
      </c>
      <c r="O1683" s="290" t="s">
        <v>4623</v>
      </c>
      <c r="P1683" s="290" t="s">
        <v>999</v>
      </c>
      <c r="Q1683" s="291" t="s">
        <v>4623</v>
      </c>
      <c r="R1683" s="276"/>
      <c r="S1683" s="277">
        <f>IF(OR(C1683="",C1683=T$4),NA(),MATCH($B1683&amp;$C1683,'Smelter Reference List'!$J:$J,0))</f>
        <v>442</v>
      </c>
      <c r="T1683" s="278"/>
      <c r="U1683" s="278"/>
      <c r="V1683" s="278"/>
      <c r="W1683" s="278"/>
    </row>
    <row r="1684" spans="1:23" s="269" customFormat="1" ht="20.25">
      <c r="A1684" s="267"/>
      <c r="B1684" s="275" t="s">
        <v>2437</v>
      </c>
      <c r="C1684" s="275" t="s">
        <v>3831</v>
      </c>
      <c r="D1684" s="168" t="s">
        <v>5555</v>
      </c>
      <c r="E1684" s="168" t="s">
        <v>2351</v>
      </c>
      <c r="F1684" s="168" t="s">
        <v>7276</v>
      </c>
      <c r="G1684" s="168" t="s">
        <v>3324</v>
      </c>
      <c r="H1684" s="292" t="s">
        <v>7277</v>
      </c>
      <c r="I1684" s="293" t="s">
        <v>7278</v>
      </c>
      <c r="J1684" s="293" t="s">
        <v>7279</v>
      </c>
      <c r="K1684" s="290" t="s">
        <v>7280</v>
      </c>
      <c r="L1684" s="290" t="s">
        <v>6608</v>
      </c>
      <c r="M1684" s="290" t="s">
        <v>4623</v>
      </c>
      <c r="N1684" s="290" t="s">
        <v>4623</v>
      </c>
      <c r="O1684" s="290" t="s">
        <v>4623</v>
      </c>
      <c r="P1684" s="290" t="s">
        <v>999</v>
      </c>
      <c r="Q1684" s="291" t="s">
        <v>4623</v>
      </c>
      <c r="R1684" s="276"/>
      <c r="S1684" s="277">
        <f>IF(OR(C1684="",C1684=T$4),NA(),MATCH($B1684&amp;$C1684,'Smelter Reference List'!$J:$J,0))</f>
        <v>442</v>
      </c>
      <c r="T1684" s="278"/>
      <c r="U1684" s="278"/>
      <c r="V1684" s="278"/>
      <c r="W1684" s="278"/>
    </row>
    <row r="1685" spans="1:23" s="269" customFormat="1" ht="20.25">
      <c r="A1685" s="267"/>
      <c r="B1685" s="275" t="s">
        <v>2437</v>
      </c>
      <c r="C1685" s="275" t="s">
        <v>3831</v>
      </c>
      <c r="D1685" s="168" t="s">
        <v>5559</v>
      </c>
      <c r="E1685" s="168" t="s">
        <v>2351</v>
      </c>
      <c r="F1685" s="168" t="s">
        <v>4623</v>
      </c>
      <c r="G1685" s="168" t="s">
        <v>4623</v>
      </c>
      <c r="H1685" s="292" t="s">
        <v>7281</v>
      </c>
      <c r="I1685" s="293" t="s">
        <v>5562</v>
      </c>
      <c r="J1685" s="293" t="s">
        <v>4623</v>
      </c>
      <c r="K1685" s="290" t="s">
        <v>4623</v>
      </c>
      <c r="L1685" s="290" t="s">
        <v>4623</v>
      </c>
      <c r="M1685" s="290" t="s">
        <v>4623</v>
      </c>
      <c r="N1685" s="290" t="s">
        <v>4623</v>
      </c>
      <c r="O1685" s="290" t="s">
        <v>4623</v>
      </c>
      <c r="P1685" s="290" t="s">
        <v>999</v>
      </c>
      <c r="Q1685" s="291" t="s">
        <v>4623</v>
      </c>
      <c r="R1685" s="276"/>
      <c r="S1685" s="277">
        <f>IF(OR(C1685="",C1685=T$4),NA(),MATCH($B1685&amp;$C1685,'Smelter Reference List'!$J:$J,0))</f>
        <v>442</v>
      </c>
      <c r="T1685" s="278"/>
      <c r="U1685" s="278"/>
      <c r="V1685" s="278"/>
      <c r="W1685" s="278"/>
    </row>
    <row r="1686" spans="1:23" s="269" customFormat="1" ht="20.25">
      <c r="A1686" s="267"/>
      <c r="B1686" s="275" t="s">
        <v>2437</v>
      </c>
      <c r="C1686" s="275" t="s">
        <v>3831</v>
      </c>
      <c r="D1686" s="168" t="s">
        <v>7282</v>
      </c>
      <c r="E1686" s="168" t="s">
        <v>2351</v>
      </c>
      <c r="F1686" s="168" t="s">
        <v>4623</v>
      </c>
      <c r="G1686" s="168" t="s">
        <v>4623</v>
      </c>
      <c r="H1686" s="292" t="s">
        <v>7283</v>
      </c>
      <c r="I1686" s="293" t="s">
        <v>4623</v>
      </c>
      <c r="J1686" s="293" t="s">
        <v>4623</v>
      </c>
      <c r="K1686" s="290" t="s">
        <v>4623</v>
      </c>
      <c r="L1686" s="290" t="s">
        <v>4623</v>
      </c>
      <c r="M1686" s="290" t="s">
        <v>4623</v>
      </c>
      <c r="N1686" s="290" t="s">
        <v>4623</v>
      </c>
      <c r="O1686" s="290" t="s">
        <v>4623</v>
      </c>
      <c r="P1686" s="290" t="s">
        <v>999</v>
      </c>
      <c r="Q1686" s="291" t="s">
        <v>4623</v>
      </c>
      <c r="R1686" s="276"/>
      <c r="S1686" s="277">
        <f>IF(OR(C1686="",C1686=T$4),NA(),MATCH($B1686&amp;$C1686,'Smelter Reference List'!$J:$J,0))</f>
        <v>442</v>
      </c>
      <c r="T1686" s="278"/>
      <c r="U1686" s="278"/>
      <c r="V1686" s="278"/>
      <c r="W1686" s="278"/>
    </row>
    <row r="1687" spans="1:23" s="269" customFormat="1" ht="20.25">
      <c r="A1687" s="267"/>
      <c r="B1687" s="275" t="s">
        <v>2437</v>
      </c>
      <c r="C1687" s="275" t="s">
        <v>3831</v>
      </c>
      <c r="D1687" s="168" t="s">
        <v>5563</v>
      </c>
      <c r="E1687" s="168" t="s">
        <v>2351</v>
      </c>
      <c r="F1687" s="168" t="s">
        <v>7284</v>
      </c>
      <c r="G1687" s="168" t="s">
        <v>3324</v>
      </c>
      <c r="H1687" s="292" t="s">
        <v>7285</v>
      </c>
      <c r="I1687" s="293" t="s">
        <v>4623</v>
      </c>
      <c r="J1687" s="293" t="s">
        <v>4623</v>
      </c>
      <c r="K1687" s="290" t="s">
        <v>7235</v>
      </c>
      <c r="L1687" s="290" t="s">
        <v>7236</v>
      </c>
      <c r="M1687" s="290" t="s">
        <v>5519</v>
      </c>
      <c r="N1687" s="290" t="s">
        <v>4792</v>
      </c>
      <c r="O1687" s="290" t="s">
        <v>4623</v>
      </c>
      <c r="P1687" s="290" t="s">
        <v>999</v>
      </c>
      <c r="Q1687" s="291" t="s">
        <v>4623</v>
      </c>
      <c r="R1687" s="276"/>
      <c r="S1687" s="277">
        <f>IF(OR(C1687="",C1687=T$4),NA(),MATCH($B1687&amp;$C1687,'Smelter Reference List'!$J:$J,0))</f>
        <v>442</v>
      </c>
      <c r="T1687" s="278"/>
      <c r="U1687" s="278"/>
      <c r="V1687" s="278"/>
      <c r="W1687" s="278"/>
    </row>
    <row r="1688" spans="1:23" s="269" customFormat="1" ht="20.25">
      <c r="A1688" s="267"/>
      <c r="B1688" s="275" t="s">
        <v>2437</v>
      </c>
      <c r="C1688" s="275" t="s">
        <v>3831</v>
      </c>
      <c r="D1688" s="168" t="s">
        <v>7286</v>
      </c>
      <c r="E1688" s="168" t="s">
        <v>2351</v>
      </c>
      <c r="F1688" s="168" t="s">
        <v>4623</v>
      </c>
      <c r="G1688" s="168" t="s">
        <v>4623</v>
      </c>
      <c r="H1688" s="292" t="s">
        <v>4623</v>
      </c>
      <c r="I1688" s="293" t="s">
        <v>4623</v>
      </c>
      <c r="J1688" s="293" t="s">
        <v>4623</v>
      </c>
      <c r="K1688" s="290" t="s">
        <v>4623</v>
      </c>
      <c r="L1688" s="290" t="s">
        <v>4623</v>
      </c>
      <c r="M1688" s="290" t="s">
        <v>4623</v>
      </c>
      <c r="N1688" s="290" t="s">
        <v>4623</v>
      </c>
      <c r="O1688" s="290" t="s">
        <v>4623</v>
      </c>
      <c r="P1688" s="290" t="s">
        <v>999</v>
      </c>
      <c r="Q1688" s="291" t="s">
        <v>4623</v>
      </c>
      <c r="R1688" s="276"/>
      <c r="S1688" s="277">
        <f>IF(OR(C1688="",C1688=T$4),NA(),MATCH($B1688&amp;$C1688,'Smelter Reference List'!$J:$J,0))</f>
        <v>442</v>
      </c>
      <c r="T1688" s="278"/>
      <c r="U1688" s="278"/>
      <c r="V1688" s="278"/>
      <c r="W1688" s="278"/>
    </row>
    <row r="1689" spans="1:23" s="269" customFormat="1" ht="20.25">
      <c r="A1689" s="267"/>
      <c r="B1689" s="275" t="s">
        <v>2437</v>
      </c>
      <c r="C1689" s="275" t="s">
        <v>3831</v>
      </c>
      <c r="D1689" s="168" t="s">
        <v>7287</v>
      </c>
      <c r="E1689" s="168" t="s">
        <v>2351</v>
      </c>
      <c r="F1689" s="168" t="s">
        <v>4623</v>
      </c>
      <c r="G1689" s="168" t="s">
        <v>4623</v>
      </c>
      <c r="H1689" s="292" t="s">
        <v>4623</v>
      </c>
      <c r="I1689" s="293" t="s">
        <v>4623</v>
      </c>
      <c r="J1689" s="293" t="s">
        <v>4623</v>
      </c>
      <c r="K1689" s="290" t="s">
        <v>4623</v>
      </c>
      <c r="L1689" s="290" t="s">
        <v>4623</v>
      </c>
      <c r="M1689" s="290" t="s">
        <v>6377</v>
      </c>
      <c r="N1689" s="290" t="s">
        <v>5000</v>
      </c>
      <c r="O1689" s="290" t="s">
        <v>5000</v>
      </c>
      <c r="P1689" s="290" t="s">
        <v>999</v>
      </c>
      <c r="Q1689" s="291" t="s">
        <v>4623</v>
      </c>
      <c r="R1689" s="276"/>
      <c r="S1689" s="277">
        <f>IF(OR(C1689="",C1689=T$4),NA(),MATCH($B1689&amp;$C1689,'Smelter Reference List'!$J:$J,0))</f>
        <v>442</v>
      </c>
      <c r="T1689" s="278"/>
      <c r="U1689" s="278"/>
      <c r="V1689" s="278"/>
      <c r="W1689" s="278"/>
    </row>
    <row r="1690" spans="1:23" s="269" customFormat="1" ht="20.25">
      <c r="A1690" s="267"/>
      <c r="B1690" s="275" t="s">
        <v>2437</v>
      </c>
      <c r="C1690" s="275" t="s">
        <v>3831</v>
      </c>
      <c r="D1690" s="168" t="s">
        <v>5567</v>
      </c>
      <c r="E1690" s="168" t="s">
        <v>2351</v>
      </c>
      <c r="F1690" s="168" t="s">
        <v>4623</v>
      </c>
      <c r="G1690" s="168" t="s">
        <v>4623</v>
      </c>
      <c r="H1690" s="292" t="s">
        <v>4623</v>
      </c>
      <c r="I1690" s="293" t="s">
        <v>4623</v>
      </c>
      <c r="J1690" s="293" t="s">
        <v>4623</v>
      </c>
      <c r="K1690" s="290" t="s">
        <v>4623</v>
      </c>
      <c r="L1690" s="290" t="s">
        <v>4623</v>
      </c>
      <c r="M1690" s="290" t="s">
        <v>4623</v>
      </c>
      <c r="N1690" s="290" t="s">
        <v>4623</v>
      </c>
      <c r="O1690" s="290" t="s">
        <v>4623</v>
      </c>
      <c r="P1690" s="290" t="s">
        <v>999</v>
      </c>
      <c r="Q1690" s="291" t="s">
        <v>4623</v>
      </c>
      <c r="R1690" s="276"/>
      <c r="S1690" s="277">
        <f>IF(OR(C1690="",C1690=T$4),NA(),MATCH($B1690&amp;$C1690,'Smelter Reference List'!$J:$J,0))</f>
        <v>442</v>
      </c>
      <c r="T1690" s="278"/>
      <c r="U1690" s="278"/>
      <c r="V1690" s="278"/>
      <c r="W1690" s="278"/>
    </row>
    <row r="1691" spans="1:23" s="269" customFormat="1" ht="20.25">
      <c r="A1691" s="267"/>
      <c r="B1691" s="275" t="s">
        <v>2437</v>
      </c>
      <c r="C1691" s="275" t="s">
        <v>3831</v>
      </c>
      <c r="D1691" s="168" t="s">
        <v>7288</v>
      </c>
      <c r="E1691" s="168" t="s">
        <v>2351</v>
      </c>
      <c r="F1691" s="168" t="s">
        <v>4623</v>
      </c>
      <c r="G1691" s="168" t="s">
        <v>4623</v>
      </c>
      <c r="H1691" s="292" t="s">
        <v>4623</v>
      </c>
      <c r="I1691" s="293" t="s">
        <v>4623</v>
      </c>
      <c r="J1691" s="293" t="s">
        <v>4623</v>
      </c>
      <c r="K1691" s="290" t="s">
        <v>4623</v>
      </c>
      <c r="L1691" s="290" t="s">
        <v>4623</v>
      </c>
      <c r="M1691" s="290" t="s">
        <v>4623</v>
      </c>
      <c r="N1691" s="290" t="s">
        <v>4623</v>
      </c>
      <c r="O1691" s="290" t="s">
        <v>4623</v>
      </c>
      <c r="P1691" s="290" t="s">
        <v>999</v>
      </c>
      <c r="Q1691" s="291" t="s">
        <v>4623</v>
      </c>
      <c r="R1691" s="276"/>
      <c r="S1691" s="277">
        <f>IF(OR(C1691="",C1691=T$4),NA(),MATCH($B1691&amp;$C1691,'Smelter Reference List'!$J:$J,0))</f>
        <v>442</v>
      </c>
      <c r="T1691" s="278"/>
      <c r="U1691" s="278"/>
      <c r="V1691" s="278"/>
      <c r="W1691" s="278"/>
    </row>
    <row r="1692" spans="1:23" s="269" customFormat="1" ht="20.25">
      <c r="A1692" s="267"/>
      <c r="B1692" s="275" t="s">
        <v>2437</v>
      </c>
      <c r="C1692" s="275" t="s">
        <v>3831</v>
      </c>
      <c r="D1692" s="168" t="s">
        <v>7289</v>
      </c>
      <c r="E1692" s="168" t="s">
        <v>2351</v>
      </c>
      <c r="F1692" s="168" t="s">
        <v>4623</v>
      </c>
      <c r="G1692" s="168" t="s">
        <v>4623</v>
      </c>
      <c r="H1692" s="292" t="s">
        <v>4623</v>
      </c>
      <c r="I1692" s="293" t="s">
        <v>4623</v>
      </c>
      <c r="J1692" s="293" t="s">
        <v>4623</v>
      </c>
      <c r="K1692" s="290" t="s">
        <v>4623</v>
      </c>
      <c r="L1692" s="290" t="s">
        <v>4623</v>
      </c>
      <c r="M1692" s="290" t="s">
        <v>4623</v>
      </c>
      <c r="N1692" s="290" t="s">
        <v>4623</v>
      </c>
      <c r="O1692" s="290" t="s">
        <v>4623</v>
      </c>
      <c r="P1692" s="290" t="s">
        <v>999</v>
      </c>
      <c r="Q1692" s="291" t="s">
        <v>4623</v>
      </c>
      <c r="R1692" s="276"/>
      <c r="S1692" s="277">
        <f>IF(OR(C1692="",C1692=T$4),NA(),MATCH($B1692&amp;$C1692,'Smelter Reference List'!$J:$J,0))</f>
        <v>442</v>
      </c>
      <c r="T1692" s="278"/>
      <c r="U1692" s="278"/>
      <c r="V1692" s="278"/>
      <c r="W1692" s="278"/>
    </row>
    <row r="1693" spans="1:23" s="269" customFormat="1" ht="20.25">
      <c r="A1693" s="267"/>
      <c r="B1693" s="275" t="s">
        <v>2437</v>
      </c>
      <c r="C1693" s="275" t="s">
        <v>3831</v>
      </c>
      <c r="D1693" s="168" t="s">
        <v>7290</v>
      </c>
      <c r="E1693" s="168" t="s">
        <v>2351</v>
      </c>
      <c r="F1693" s="168" t="s">
        <v>4623</v>
      </c>
      <c r="G1693" s="168" t="s">
        <v>4623</v>
      </c>
      <c r="H1693" s="292" t="s">
        <v>4623</v>
      </c>
      <c r="I1693" s="293" t="s">
        <v>4623</v>
      </c>
      <c r="J1693" s="293" t="s">
        <v>4623</v>
      </c>
      <c r="K1693" s="290" t="s">
        <v>4623</v>
      </c>
      <c r="L1693" s="290" t="s">
        <v>4623</v>
      </c>
      <c r="M1693" s="290" t="s">
        <v>4623</v>
      </c>
      <c r="N1693" s="290" t="s">
        <v>4623</v>
      </c>
      <c r="O1693" s="290" t="s">
        <v>4623</v>
      </c>
      <c r="P1693" s="290" t="s">
        <v>999</v>
      </c>
      <c r="Q1693" s="291" t="s">
        <v>4623</v>
      </c>
      <c r="R1693" s="276"/>
      <c r="S1693" s="277">
        <f>IF(OR(C1693="",C1693=T$4),NA(),MATCH($B1693&amp;$C1693,'Smelter Reference List'!$J:$J,0))</f>
        <v>442</v>
      </c>
      <c r="T1693" s="278"/>
      <c r="U1693" s="278"/>
      <c r="V1693" s="278"/>
      <c r="W1693" s="278"/>
    </row>
    <row r="1694" spans="1:23" s="269" customFormat="1" ht="20.25">
      <c r="A1694" s="267"/>
      <c r="B1694" s="275" t="s">
        <v>2437</v>
      </c>
      <c r="C1694" s="275" t="s">
        <v>3831</v>
      </c>
      <c r="D1694" s="168" t="s">
        <v>7291</v>
      </c>
      <c r="E1694" s="168" t="s">
        <v>2351</v>
      </c>
      <c r="F1694" s="168" t="s">
        <v>7292</v>
      </c>
      <c r="G1694" s="168" t="s">
        <v>3324</v>
      </c>
      <c r="H1694" s="292" t="s">
        <v>4623</v>
      </c>
      <c r="I1694" s="293" t="s">
        <v>4623</v>
      </c>
      <c r="J1694" s="293" t="s">
        <v>4623</v>
      </c>
      <c r="K1694" s="290" t="s">
        <v>4623</v>
      </c>
      <c r="L1694" s="290" t="s">
        <v>4623</v>
      </c>
      <c r="M1694" s="290" t="s">
        <v>4623</v>
      </c>
      <c r="N1694" s="290" t="s">
        <v>4623</v>
      </c>
      <c r="O1694" s="290" t="s">
        <v>4623</v>
      </c>
      <c r="P1694" s="290" t="s">
        <v>999</v>
      </c>
      <c r="Q1694" s="291" t="s">
        <v>4623</v>
      </c>
      <c r="R1694" s="276"/>
      <c r="S1694" s="277">
        <f>IF(OR(C1694="",C1694=T$4),NA(),MATCH($B1694&amp;$C1694,'Smelter Reference List'!$J:$J,0))</f>
        <v>442</v>
      </c>
      <c r="T1694" s="278"/>
      <c r="U1694" s="278"/>
      <c r="V1694" s="278"/>
      <c r="W1694" s="278"/>
    </row>
    <row r="1695" spans="1:23" s="269" customFormat="1" ht="20.25">
      <c r="A1695" s="267"/>
      <c r="B1695" s="275" t="s">
        <v>2437</v>
      </c>
      <c r="C1695" s="275" t="s">
        <v>3831</v>
      </c>
      <c r="D1695" s="168" t="s">
        <v>6375</v>
      </c>
      <c r="E1695" s="168" t="s">
        <v>2351</v>
      </c>
      <c r="F1695" s="168" t="s">
        <v>4623</v>
      </c>
      <c r="G1695" s="168" t="s">
        <v>4623</v>
      </c>
      <c r="H1695" s="292" t="s">
        <v>4623</v>
      </c>
      <c r="I1695" s="293" t="s">
        <v>4623</v>
      </c>
      <c r="J1695" s="293" t="s">
        <v>4623</v>
      </c>
      <c r="K1695" s="290" t="s">
        <v>4623</v>
      </c>
      <c r="L1695" s="290" t="s">
        <v>4623</v>
      </c>
      <c r="M1695" s="290" t="s">
        <v>4623</v>
      </c>
      <c r="N1695" s="290" t="s">
        <v>4623</v>
      </c>
      <c r="O1695" s="290" t="s">
        <v>4623</v>
      </c>
      <c r="P1695" s="290" t="s">
        <v>999</v>
      </c>
      <c r="Q1695" s="291" t="s">
        <v>4623</v>
      </c>
      <c r="R1695" s="276"/>
      <c r="S1695" s="277">
        <f>IF(OR(C1695="",C1695=T$4),NA(),MATCH($B1695&amp;$C1695,'Smelter Reference List'!$J:$J,0))</f>
        <v>442</v>
      </c>
      <c r="T1695" s="278"/>
      <c r="U1695" s="278"/>
      <c r="V1695" s="278"/>
      <c r="W1695" s="278"/>
    </row>
    <row r="1696" spans="1:23" s="269" customFormat="1" ht="20.25">
      <c r="A1696" s="267"/>
      <c r="B1696" s="275" t="s">
        <v>2437</v>
      </c>
      <c r="C1696" s="275" t="s">
        <v>3831</v>
      </c>
      <c r="D1696" s="168" t="s">
        <v>7293</v>
      </c>
      <c r="E1696" s="168" t="s">
        <v>2351</v>
      </c>
      <c r="F1696" s="168" t="s">
        <v>4623</v>
      </c>
      <c r="G1696" s="168" t="s">
        <v>4623</v>
      </c>
      <c r="H1696" s="292" t="s">
        <v>4623</v>
      </c>
      <c r="I1696" s="293" t="s">
        <v>4623</v>
      </c>
      <c r="J1696" s="293" t="s">
        <v>4623</v>
      </c>
      <c r="K1696" s="290" t="s">
        <v>4623</v>
      </c>
      <c r="L1696" s="290" t="s">
        <v>4623</v>
      </c>
      <c r="M1696" s="290" t="s">
        <v>4623</v>
      </c>
      <c r="N1696" s="290" t="s">
        <v>4623</v>
      </c>
      <c r="O1696" s="290" t="s">
        <v>4623</v>
      </c>
      <c r="P1696" s="290" t="s">
        <v>999</v>
      </c>
      <c r="Q1696" s="291" t="s">
        <v>4623</v>
      </c>
      <c r="R1696" s="276"/>
      <c r="S1696" s="277">
        <f>IF(OR(C1696="",C1696=T$4),NA(),MATCH($B1696&amp;$C1696,'Smelter Reference List'!$J:$J,0))</f>
        <v>442</v>
      </c>
      <c r="T1696" s="278"/>
      <c r="U1696" s="278"/>
      <c r="V1696" s="278"/>
      <c r="W1696" s="278"/>
    </row>
    <row r="1697" spans="1:23" s="269" customFormat="1" ht="20.25">
      <c r="A1697" s="267"/>
      <c r="B1697" s="275" t="s">
        <v>2437</v>
      </c>
      <c r="C1697" s="275" t="s">
        <v>3831</v>
      </c>
      <c r="D1697" s="168" t="s">
        <v>7294</v>
      </c>
      <c r="E1697" s="168" t="s">
        <v>2351</v>
      </c>
      <c r="F1697" s="168" t="s">
        <v>7295</v>
      </c>
      <c r="G1697" s="168" t="s">
        <v>3324</v>
      </c>
      <c r="H1697" s="292" t="s">
        <v>4623</v>
      </c>
      <c r="I1697" s="293" t="s">
        <v>7296</v>
      </c>
      <c r="J1697" s="293" t="s">
        <v>3722</v>
      </c>
      <c r="K1697" s="290" t="s">
        <v>4623</v>
      </c>
      <c r="L1697" s="290" t="s">
        <v>4623</v>
      </c>
      <c r="M1697" s="290" t="s">
        <v>4623</v>
      </c>
      <c r="N1697" s="290" t="s">
        <v>4623</v>
      </c>
      <c r="O1697" s="290" t="s">
        <v>4623</v>
      </c>
      <c r="P1697" s="290" t="s">
        <v>999</v>
      </c>
      <c r="Q1697" s="291" t="s">
        <v>4623</v>
      </c>
      <c r="R1697" s="276"/>
      <c r="S1697" s="277">
        <f>IF(OR(C1697="",C1697=T$4),NA(),MATCH($B1697&amp;$C1697,'Smelter Reference List'!$J:$J,0))</f>
        <v>442</v>
      </c>
      <c r="T1697" s="278"/>
      <c r="U1697" s="278"/>
      <c r="V1697" s="278"/>
      <c r="W1697" s="278"/>
    </row>
    <row r="1698" spans="1:23" s="269" customFormat="1" ht="20.25">
      <c r="A1698" s="267"/>
      <c r="B1698" s="275" t="s">
        <v>2437</v>
      </c>
      <c r="C1698" s="275" t="s">
        <v>3831</v>
      </c>
      <c r="D1698" s="168" t="s">
        <v>7297</v>
      </c>
      <c r="E1698" s="168" t="s">
        <v>2351</v>
      </c>
      <c r="F1698" s="168" t="s">
        <v>1498</v>
      </c>
      <c r="G1698" s="168" t="s">
        <v>3324</v>
      </c>
      <c r="H1698" s="292" t="s">
        <v>7298</v>
      </c>
      <c r="I1698" s="293" t="s">
        <v>7299</v>
      </c>
      <c r="J1698" s="293" t="s">
        <v>7300</v>
      </c>
      <c r="K1698" s="290" t="s">
        <v>7301</v>
      </c>
      <c r="L1698" s="290" t="s">
        <v>7302</v>
      </c>
      <c r="M1698" s="290" t="s">
        <v>4623</v>
      </c>
      <c r="N1698" s="290" t="s">
        <v>4623</v>
      </c>
      <c r="O1698" s="290" t="s">
        <v>4623</v>
      </c>
      <c r="P1698" s="290" t="s">
        <v>999</v>
      </c>
      <c r="Q1698" s="291" t="s">
        <v>5492</v>
      </c>
      <c r="R1698" s="276"/>
      <c r="S1698" s="277">
        <f>IF(OR(C1698="",C1698=T$4),NA(),MATCH($B1698&amp;$C1698,'Smelter Reference List'!$J:$J,0))</f>
        <v>442</v>
      </c>
      <c r="T1698" s="278"/>
      <c r="U1698" s="278"/>
      <c r="V1698" s="278"/>
      <c r="W1698" s="278"/>
    </row>
    <row r="1699" spans="1:23" s="269" customFormat="1" ht="20.25">
      <c r="A1699" s="267"/>
      <c r="B1699" s="275" t="s">
        <v>2437</v>
      </c>
      <c r="C1699" s="275" t="s">
        <v>3831</v>
      </c>
      <c r="D1699" s="168" t="s">
        <v>7303</v>
      </c>
      <c r="E1699" s="168" t="s">
        <v>2351</v>
      </c>
      <c r="F1699" s="168" t="s">
        <v>7304</v>
      </c>
      <c r="G1699" s="168" t="s">
        <v>3324</v>
      </c>
      <c r="H1699" s="292" t="s">
        <v>4623</v>
      </c>
      <c r="I1699" s="293" t="s">
        <v>4623</v>
      </c>
      <c r="J1699" s="293" t="s">
        <v>4623</v>
      </c>
      <c r="K1699" s="290" t="s">
        <v>4623</v>
      </c>
      <c r="L1699" s="290" t="s">
        <v>4623</v>
      </c>
      <c r="M1699" s="290" t="s">
        <v>4623</v>
      </c>
      <c r="N1699" s="290" t="s">
        <v>4623</v>
      </c>
      <c r="O1699" s="290" t="s">
        <v>4623</v>
      </c>
      <c r="P1699" s="290" t="s">
        <v>999</v>
      </c>
      <c r="Q1699" s="291" t="s">
        <v>4623</v>
      </c>
      <c r="R1699" s="276"/>
      <c r="S1699" s="277">
        <f>IF(OR(C1699="",C1699=T$4),NA(),MATCH($B1699&amp;$C1699,'Smelter Reference List'!$J:$J,0))</f>
        <v>442</v>
      </c>
      <c r="T1699" s="278"/>
      <c r="U1699" s="278"/>
      <c r="V1699" s="278"/>
      <c r="W1699" s="278"/>
    </row>
    <row r="1700" spans="1:23" s="269" customFormat="1" ht="20.25">
      <c r="A1700" s="267"/>
      <c r="B1700" s="275" t="s">
        <v>2437</v>
      </c>
      <c r="C1700" s="275" t="s">
        <v>3831</v>
      </c>
      <c r="D1700" s="168" t="s">
        <v>7305</v>
      </c>
      <c r="E1700" s="168" t="s">
        <v>2351</v>
      </c>
      <c r="F1700" s="168" t="s">
        <v>4623</v>
      </c>
      <c r="G1700" s="168" t="s">
        <v>4623</v>
      </c>
      <c r="H1700" s="292" t="s">
        <v>4623</v>
      </c>
      <c r="I1700" s="293" t="s">
        <v>4623</v>
      </c>
      <c r="J1700" s="293" t="s">
        <v>4623</v>
      </c>
      <c r="K1700" s="290" t="s">
        <v>4623</v>
      </c>
      <c r="L1700" s="290" t="s">
        <v>4623</v>
      </c>
      <c r="M1700" s="290" t="s">
        <v>4623</v>
      </c>
      <c r="N1700" s="290" t="s">
        <v>4623</v>
      </c>
      <c r="O1700" s="290" t="s">
        <v>4623</v>
      </c>
      <c r="P1700" s="290" t="s">
        <v>999</v>
      </c>
      <c r="Q1700" s="291" t="s">
        <v>4623</v>
      </c>
      <c r="R1700" s="276"/>
      <c r="S1700" s="277">
        <f>IF(OR(C1700="",C1700=T$4),NA(),MATCH($B1700&amp;$C1700,'Smelter Reference List'!$J:$J,0))</f>
        <v>442</v>
      </c>
      <c r="T1700" s="278"/>
      <c r="U1700" s="278"/>
      <c r="V1700" s="278"/>
      <c r="W1700" s="278"/>
    </row>
    <row r="1701" spans="1:23" s="269" customFormat="1" ht="20.25">
      <c r="A1701" s="267"/>
      <c r="B1701" s="275" t="s">
        <v>2437</v>
      </c>
      <c r="C1701" s="275" t="s">
        <v>3831</v>
      </c>
      <c r="D1701" s="168" t="s">
        <v>7306</v>
      </c>
      <c r="E1701" s="168" t="s">
        <v>2351</v>
      </c>
      <c r="F1701" s="168" t="s">
        <v>4623</v>
      </c>
      <c r="G1701" s="168" t="s">
        <v>4623</v>
      </c>
      <c r="H1701" s="292" t="s">
        <v>4623</v>
      </c>
      <c r="I1701" s="293" t="s">
        <v>4623</v>
      </c>
      <c r="J1701" s="293" t="s">
        <v>4623</v>
      </c>
      <c r="K1701" s="290" t="s">
        <v>4623</v>
      </c>
      <c r="L1701" s="290" t="s">
        <v>4623</v>
      </c>
      <c r="M1701" s="290" t="s">
        <v>4623</v>
      </c>
      <c r="N1701" s="290" t="s">
        <v>4623</v>
      </c>
      <c r="O1701" s="290" t="s">
        <v>4623</v>
      </c>
      <c r="P1701" s="290" t="s">
        <v>999</v>
      </c>
      <c r="Q1701" s="291" t="s">
        <v>4623</v>
      </c>
      <c r="R1701" s="276"/>
      <c r="S1701" s="277">
        <f>IF(OR(C1701="",C1701=T$4),NA(),MATCH($B1701&amp;$C1701,'Smelter Reference List'!$J:$J,0))</f>
        <v>442</v>
      </c>
      <c r="T1701" s="278"/>
      <c r="U1701" s="278"/>
      <c r="V1701" s="278"/>
      <c r="W1701" s="278"/>
    </row>
    <row r="1702" spans="1:23" s="269" customFormat="1" ht="20.25">
      <c r="A1702" s="267"/>
      <c r="B1702" s="275" t="s">
        <v>2437</v>
      </c>
      <c r="C1702" s="275" t="s">
        <v>3831</v>
      </c>
      <c r="D1702" s="168" t="s">
        <v>6387</v>
      </c>
      <c r="E1702" s="168" t="s">
        <v>2351</v>
      </c>
      <c r="F1702" s="168" t="s">
        <v>4623</v>
      </c>
      <c r="G1702" s="168" t="s">
        <v>4623</v>
      </c>
      <c r="H1702" s="292" t="s">
        <v>4623</v>
      </c>
      <c r="I1702" s="293" t="s">
        <v>4623</v>
      </c>
      <c r="J1702" s="293" t="s">
        <v>4623</v>
      </c>
      <c r="K1702" s="290" t="s">
        <v>4623</v>
      </c>
      <c r="L1702" s="290" t="s">
        <v>4623</v>
      </c>
      <c r="M1702" s="290" t="s">
        <v>4623</v>
      </c>
      <c r="N1702" s="290" t="s">
        <v>4623</v>
      </c>
      <c r="O1702" s="290" t="s">
        <v>4623</v>
      </c>
      <c r="P1702" s="290" t="s">
        <v>999</v>
      </c>
      <c r="Q1702" s="291" t="s">
        <v>4623</v>
      </c>
      <c r="R1702" s="276"/>
      <c r="S1702" s="277">
        <f>IF(OR(C1702="",C1702=T$4),NA(),MATCH($B1702&amp;$C1702,'Smelter Reference List'!$J:$J,0))</f>
        <v>442</v>
      </c>
      <c r="T1702" s="278"/>
      <c r="U1702" s="278"/>
      <c r="V1702" s="278"/>
      <c r="W1702" s="278"/>
    </row>
    <row r="1703" spans="1:23" s="269" customFormat="1" ht="20.25">
      <c r="A1703" s="267"/>
      <c r="B1703" s="275" t="s">
        <v>2437</v>
      </c>
      <c r="C1703" s="275" t="s">
        <v>3831</v>
      </c>
      <c r="D1703" s="168" t="s">
        <v>7307</v>
      </c>
      <c r="E1703" s="168" t="s">
        <v>2351</v>
      </c>
      <c r="F1703" s="168" t="s">
        <v>4623</v>
      </c>
      <c r="G1703" s="168" t="s">
        <v>4623</v>
      </c>
      <c r="H1703" s="292" t="s">
        <v>4623</v>
      </c>
      <c r="I1703" s="293" t="s">
        <v>4623</v>
      </c>
      <c r="J1703" s="293" t="s">
        <v>4623</v>
      </c>
      <c r="K1703" s="290" t="s">
        <v>4623</v>
      </c>
      <c r="L1703" s="290" t="s">
        <v>4623</v>
      </c>
      <c r="M1703" s="290" t="s">
        <v>6377</v>
      </c>
      <c r="N1703" s="290" t="s">
        <v>5000</v>
      </c>
      <c r="O1703" s="290" t="s">
        <v>5000</v>
      </c>
      <c r="P1703" s="290" t="s">
        <v>999</v>
      </c>
      <c r="Q1703" s="291" t="s">
        <v>4623</v>
      </c>
      <c r="R1703" s="276"/>
      <c r="S1703" s="277">
        <f>IF(OR(C1703="",C1703=T$4),NA(),MATCH($B1703&amp;$C1703,'Smelter Reference List'!$J:$J,0))</f>
        <v>442</v>
      </c>
      <c r="T1703" s="278"/>
      <c r="U1703" s="278"/>
      <c r="V1703" s="278"/>
      <c r="W1703" s="278"/>
    </row>
    <row r="1704" spans="1:23" s="269" customFormat="1" ht="20.25">
      <c r="A1704" s="267"/>
      <c r="B1704" s="275" t="s">
        <v>2437</v>
      </c>
      <c r="C1704" s="275" t="s">
        <v>3831</v>
      </c>
      <c r="D1704" s="168" t="s">
        <v>7308</v>
      </c>
      <c r="E1704" s="168" t="s">
        <v>2351</v>
      </c>
      <c r="F1704" s="168" t="s">
        <v>4623</v>
      </c>
      <c r="G1704" s="168" t="s">
        <v>4623</v>
      </c>
      <c r="H1704" s="292" t="s">
        <v>4623</v>
      </c>
      <c r="I1704" s="293" t="s">
        <v>4623</v>
      </c>
      <c r="J1704" s="293" t="s">
        <v>4623</v>
      </c>
      <c r="K1704" s="290" t="s">
        <v>4623</v>
      </c>
      <c r="L1704" s="290" t="s">
        <v>4623</v>
      </c>
      <c r="M1704" s="290" t="s">
        <v>4623</v>
      </c>
      <c r="N1704" s="290" t="s">
        <v>4623</v>
      </c>
      <c r="O1704" s="290" t="s">
        <v>4623</v>
      </c>
      <c r="P1704" s="290" t="s">
        <v>999</v>
      </c>
      <c r="Q1704" s="291" t="s">
        <v>4623</v>
      </c>
      <c r="R1704" s="276"/>
      <c r="S1704" s="277">
        <f>IF(OR(C1704="",C1704=T$4),NA(),MATCH($B1704&amp;$C1704,'Smelter Reference List'!$J:$J,0))</f>
        <v>442</v>
      </c>
      <c r="T1704" s="278"/>
      <c r="U1704" s="278"/>
      <c r="V1704" s="278"/>
      <c r="W1704" s="278"/>
    </row>
    <row r="1705" spans="1:23" s="269" customFormat="1" ht="20.25">
      <c r="A1705" s="267"/>
      <c r="B1705" s="275" t="s">
        <v>2437</v>
      </c>
      <c r="C1705" s="275" t="s">
        <v>3831</v>
      </c>
      <c r="D1705" s="168" t="s">
        <v>7309</v>
      </c>
      <c r="E1705" s="168" t="s">
        <v>2351</v>
      </c>
      <c r="F1705" s="168" t="s">
        <v>4623</v>
      </c>
      <c r="G1705" s="168" t="s">
        <v>4623</v>
      </c>
      <c r="H1705" s="292" t="s">
        <v>7310</v>
      </c>
      <c r="I1705" s="293" t="s">
        <v>3669</v>
      </c>
      <c r="J1705" s="293" t="s">
        <v>7311</v>
      </c>
      <c r="K1705" s="290" t="s">
        <v>7312</v>
      </c>
      <c r="L1705" s="290" t="s">
        <v>7313</v>
      </c>
      <c r="M1705" s="290" t="s">
        <v>4623</v>
      </c>
      <c r="N1705" s="290" t="s">
        <v>4623</v>
      </c>
      <c r="O1705" s="290" t="s">
        <v>4623</v>
      </c>
      <c r="P1705" s="290" t="s">
        <v>999</v>
      </c>
      <c r="Q1705" s="291" t="s">
        <v>4623</v>
      </c>
      <c r="R1705" s="276"/>
      <c r="S1705" s="277">
        <f>IF(OR(C1705="",C1705=T$4),NA(),MATCH($B1705&amp;$C1705,'Smelter Reference List'!$J:$J,0))</f>
        <v>442</v>
      </c>
      <c r="T1705" s="278"/>
      <c r="U1705" s="278"/>
      <c r="V1705" s="278"/>
      <c r="W1705" s="278"/>
    </row>
    <row r="1706" spans="1:23" s="269" customFormat="1" ht="20.25">
      <c r="A1706" s="267"/>
      <c r="B1706" s="275" t="s">
        <v>2437</v>
      </c>
      <c r="C1706" s="275" t="s">
        <v>3831</v>
      </c>
      <c r="D1706" s="168" t="s">
        <v>7314</v>
      </c>
      <c r="E1706" s="168" t="s">
        <v>2351</v>
      </c>
      <c r="F1706" s="168" t="s">
        <v>4623</v>
      </c>
      <c r="G1706" s="168" t="s">
        <v>4623</v>
      </c>
      <c r="H1706" s="292" t="s">
        <v>4623</v>
      </c>
      <c r="I1706" s="293" t="s">
        <v>4623</v>
      </c>
      <c r="J1706" s="293" t="s">
        <v>4623</v>
      </c>
      <c r="K1706" s="290" t="s">
        <v>4623</v>
      </c>
      <c r="L1706" s="290" t="s">
        <v>4623</v>
      </c>
      <c r="M1706" s="290" t="s">
        <v>4623</v>
      </c>
      <c r="N1706" s="290" t="s">
        <v>4623</v>
      </c>
      <c r="O1706" s="290" t="s">
        <v>4623</v>
      </c>
      <c r="P1706" s="290" t="s">
        <v>999</v>
      </c>
      <c r="Q1706" s="291" t="s">
        <v>4623</v>
      </c>
      <c r="R1706" s="276"/>
      <c r="S1706" s="277">
        <f>IF(OR(C1706="",C1706=T$4),NA(),MATCH($B1706&amp;$C1706,'Smelter Reference List'!$J:$J,0))</f>
        <v>442</v>
      </c>
      <c r="T1706" s="278"/>
      <c r="U1706" s="278"/>
      <c r="V1706" s="278"/>
      <c r="W1706" s="278"/>
    </row>
    <row r="1707" spans="1:23" s="269" customFormat="1" ht="20.25">
      <c r="A1707" s="267"/>
      <c r="B1707" s="275" t="s">
        <v>2437</v>
      </c>
      <c r="C1707" s="275" t="s">
        <v>3831</v>
      </c>
      <c r="D1707" s="168" t="s">
        <v>7315</v>
      </c>
      <c r="E1707" s="168" t="s">
        <v>2351</v>
      </c>
      <c r="F1707" s="168" t="s">
        <v>4623</v>
      </c>
      <c r="G1707" s="168" t="s">
        <v>4623</v>
      </c>
      <c r="H1707" s="292" t="s">
        <v>4623</v>
      </c>
      <c r="I1707" s="293" t="s">
        <v>4623</v>
      </c>
      <c r="J1707" s="293" t="s">
        <v>4623</v>
      </c>
      <c r="K1707" s="290" t="s">
        <v>4623</v>
      </c>
      <c r="L1707" s="290" t="s">
        <v>4623</v>
      </c>
      <c r="M1707" s="290" t="s">
        <v>4623</v>
      </c>
      <c r="N1707" s="290" t="s">
        <v>4623</v>
      </c>
      <c r="O1707" s="290" t="s">
        <v>4623</v>
      </c>
      <c r="P1707" s="290" t="s">
        <v>999</v>
      </c>
      <c r="Q1707" s="291" t="s">
        <v>4623</v>
      </c>
      <c r="R1707" s="276"/>
      <c r="S1707" s="277">
        <f>IF(OR(C1707="",C1707=T$4),NA(),MATCH($B1707&amp;$C1707,'Smelter Reference List'!$J:$J,0))</f>
        <v>442</v>
      </c>
      <c r="T1707" s="278"/>
      <c r="U1707" s="278"/>
      <c r="V1707" s="278"/>
      <c r="W1707" s="278"/>
    </row>
    <row r="1708" spans="1:23" s="269" customFormat="1" ht="20.25">
      <c r="A1708" s="267"/>
      <c r="B1708" s="275" t="s">
        <v>2437</v>
      </c>
      <c r="C1708" s="275" t="s">
        <v>3831</v>
      </c>
      <c r="D1708" s="168" t="s">
        <v>7316</v>
      </c>
      <c r="E1708" s="168" t="s">
        <v>2351</v>
      </c>
      <c r="F1708" s="168" t="s">
        <v>4623</v>
      </c>
      <c r="G1708" s="168" t="s">
        <v>4623</v>
      </c>
      <c r="H1708" s="292" t="s">
        <v>4623</v>
      </c>
      <c r="I1708" s="293" t="s">
        <v>4623</v>
      </c>
      <c r="J1708" s="293" t="s">
        <v>4623</v>
      </c>
      <c r="K1708" s="290" t="s">
        <v>4623</v>
      </c>
      <c r="L1708" s="290" t="s">
        <v>4623</v>
      </c>
      <c r="M1708" s="290" t="s">
        <v>4623</v>
      </c>
      <c r="N1708" s="290" t="s">
        <v>4623</v>
      </c>
      <c r="O1708" s="290" t="s">
        <v>4623</v>
      </c>
      <c r="P1708" s="290" t="s">
        <v>999</v>
      </c>
      <c r="Q1708" s="291" t="s">
        <v>4623</v>
      </c>
      <c r="R1708" s="276"/>
      <c r="S1708" s="277">
        <f>IF(OR(C1708="",C1708=T$4),NA(),MATCH($B1708&amp;$C1708,'Smelter Reference List'!$J:$J,0))</f>
        <v>442</v>
      </c>
      <c r="T1708" s="278"/>
      <c r="U1708" s="278"/>
      <c r="V1708" s="278"/>
      <c r="W1708" s="278"/>
    </row>
    <row r="1709" spans="1:23" s="269" customFormat="1" ht="20.25">
      <c r="A1709" s="267"/>
      <c r="B1709" s="275" t="s">
        <v>2437</v>
      </c>
      <c r="C1709" s="275" t="s">
        <v>3831</v>
      </c>
      <c r="D1709" s="168" t="s">
        <v>7317</v>
      </c>
      <c r="E1709" s="168" t="s">
        <v>2351</v>
      </c>
      <c r="F1709" s="168" t="s">
        <v>4623</v>
      </c>
      <c r="G1709" s="168" t="s">
        <v>4623</v>
      </c>
      <c r="H1709" s="292" t="s">
        <v>7222</v>
      </c>
      <c r="I1709" s="293" t="s">
        <v>4623</v>
      </c>
      <c r="J1709" s="293" t="s">
        <v>4623</v>
      </c>
      <c r="K1709" s="290" t="s">
        <v>4623</v>
      </c>
      <c r="L1709" s="290" t="s">
        <v>4623</v>
      </c>
      <c r="M1709" s="290" t="s">
        <v>4623</v>
      </c>
      <c r="N1709" s="290" t="s">
        <v>4623</v>
      </c>
      <c r="O1709" s="290" t="s">
        <v>4623</v>
      </c>
      <c r="P1709" s="290" t="s">
        <v>999</v>
      </c>
      <c r="Q1709" s="291" t="s">
        <v>4623</v>
      </c>
      <c r="R1709" s="276"/>
      <c r="S1709" s="277">
        <f>IF(OR(C1709="",C1709=T$4),NA(),MATCH($B1709&amp;$C1709,'Smelter Reference List'!$J:$J,0))</f>
        <v>442</v>
      </c>
      <c r="T1709" s="278"/>
      <c r="U1709" s="278"/>
      <c r="V1709" s="278"/>
      <c r="W1709" s="278"/>
    </row>
    <row r="1710" spans="1:23" s="269" customFormat="1" ht="20.25">
      <c r="A1710" s="267"/>
      <c r="B1710" s="275" t="s">
        <v>2437</v>
      </c>
      <c r="C1710" s="275" t="s">
        <v>3831</v>
      </c>
      <c r="D1710" s="168" t="s">
        <v>7318</v>
      </c>
      <c r="E1710" s="168" t="s">
        <v>2351</v>
      </c>
      <c r="F1710" s="168" t="s">
        <v>4623</v>
      </c>
      <c r="G1710" s="168" t="s">
        <v>4623</v>
      </c>
      <c r="H1710" s="292" t="s">
        <v>4623</v>
      </c>
      <c r="I1710" s="293" t="s">
        <v>4623</v>
      </c>
      <c r="J1710" s="293" t="s">
        <v>4623</v>
      </c>
      <c r="K1710" s="290" t="s">
        <v>4623</v>
      </c>
      <c r="L1710" s="290" t="s">
        <v>4623</v>
      </c>
      <c r="M1710" s="290" t="s">
        <v>4623</v>
      </c>
      <c r="N1710" s="290" t="s">
        <v>4623</v>
      </c>
      <c r="O1710" s="290" t="s">
        <v>4623</v>
      </c>
      <c r="P1710" s="290" t="s">
        <v>999</v>
      </c>
      <c r="Q1710" s="291" t="s">
        <v>4623</v>
      </c>
      <c r="R1710" s="276"/>
      <c r="S1710" s="277">
        <f>IF(OR(C1710="",C1710=T$4),NA(),MATCH($B1710&amp;$C1710,'Smelter Reference List'!$J:$J,0))</f>
        <v>442</v>
      </c>
      <c r="T1710" s="278"/>
      <c r="U1710" s="278"/>
      <c r="V1710" s="278"/>
      <c r="W1710" s="278"/>
    </row>
    <row r="1711" spans="1:23" s="269" customFormat="1" ht="20.25">
      <c r="A1711" s="267"/>
      <c r="B1711" s="275" t="s">
        <v>2437</v>
      </c>
      <c r="C1711" s="275" t="s">
        <v>3831</v>
      </c>
      <c r="D1711" s="168" t="s">
        <v>7319</v>
      </c>
      <c r="E1711" s="168" t="s">
        <v>2351</v>
      </c>
      <c r="F1711" s="168" t="s">
        <v>4623</v>
      </c>
      <c r="G1711" s="168" t="s">
        <v>4623</v>
      </c>
      <c r="H1711" s="292" t="s">
        <v>4623</v>
      </c>
      <c r="I1711" s="293" t="s">
        <v>4623</v>
      </c>
      <c r="J1711" s="293" t="s">
        <v>4623</v>
      </c>
      <c r="K1711" s="290" t="s">
        <v>4623</v>
      </c>
      <c r="L1711" s="290" t="s">
        <v>4623</v>
      </c>
      <c r="M1711" s="290" t="s">
        <v>4623</v>
      </c>
      <c r="N1711" s="290" t="s">
        <v>4623</v>
      </c>
      <c r="O1711" s="290" t="s">
        <v>4623</v>
      </c>
      <c r="P1711" s="290" t="s">
        <v>999</v>
      </c>
      <c r="Q1711" s="291" t="s">
        <v>4623</v>
      </c>
      <c r="R1711" s="276"/>
      <c r="S1711" s="277">
        <f>IF(OR(C1711="",C1711=T$4),NA(),MATCH($B1711&amp;$C1711,'Smelter Reference List'!$J:$J,0))</f>
        <v>442</v>
      </c>
      <c r="T1711" s="278"/>
      <c r="U1711" s="278"/>
      <c r="V1711" s="278"/>
      <c r="W1711" s="278"/>
    </row>
    <row r="1712" spans="1:23" s="269" customFormat="1" ht="20.25">
      <c r="A1712" s="267"/>
      <c r="B1712" s="275" t="s">
        <v>2437</v>
      </c>
      <c r="C1712" s="275" t="s">
        <v>3831</v>
      </c>
      <c r="D1712" s="168" t="s">
        <v>7320</v>
      </c>
      <c r="E1712" s="168" t="s">
        <v>2351</v>
      </c>
      <c r="F1712" s="168" t="s">
        <v>4623</v>
      </c>
      <c r="G1712" s="168" t="s">
        <v>4623</v>
      </c>
      <c r="H1712" s="292" t="s">
        <v>4623</v>
      </c>
      <c r="I1712" s="293" t="s">
        <v>4623</v>
      </c>
      <c r="J1712" s="293" t="s">
        <v>4623</v>
      </c>
      <c r="K1712" s="290" t="s">
        <v>4623</v>
      </c>
      <c r="L1712" s="290" t="s">
        <v>4623</v>
      </c>
      <c r="M1712" s="290" t="s">
        <v>4623</v>
      </c>
      <c r="N1712" s="290" t="s">
        <v>4623</v>
      </c>
      <c r="O1712" s="290" t="s">
        <v>4623</v>
      </c>
      <c r="P1712" s="290" t="s">
        <v>999</v>
      </c>
      <c r="Q1712" s="291" t="s">
        <v>4623</v>
      </c>
      <c r="R1712" s="276"/>
      <c r="S1712" s="277">
        <f>IF(OR(C1712="",C1712=T$4),NA(),MATCH($B1712&amp;$C1712,'Smelter Reference List'!$J:$J,0))</f>
        <v>442</v>
      </c>
      <c r="T1712" s="278"/>
      <c r="U1712" s="278"/>
      <c r="V1712" s="278"/>
      <c r="W1712" s="278"/>
    </row>
    <row r="1713" spans="1:23" s="269" customFormat="1" ht="20.25">
      <c r="A1713" s="267"/>
      <c r="B1713" s="275" t="s">
        <v>2437</v>
      </c>
      <c r="C1713" s="275" t="s">
        <v>3831</v>
      </c>
      <c r="D1713" s="168" t="s">
        <v>7321</v>
      </c>
      <c r="E1713" s="168" t="s">
        <v>2351</v>
      </c>
      <c r="F1713" s="168" t="s">
        <v>4623</v>
      </c>
      <c r="G1713" s="168" t="s">
        <v>4623</v>
      </c>
      <c r="H1713" s="292" t="s">
        <v>4623</v>
      </c>
      <c r="I1713" s="293" t="s">
        <v>4623</v>
      </c>
      <c r="J1713" s="293" t="s">
        <v>4623</v>
      </c>
      <c r="K1713" s="290" t="s">
        <v>4623</v>
      </c>
      <c r="L1713" s="290" t="s">
        <v>4623</v>
      </c>
      <c r="M1713" s="290" t="s">
        <v>4623</v>
      </c>
      <c r="N1713" s="290" t="s">
        <v>4623</v>
      </c>
      <c r="O1713" s="290" t="s">
        <v>4623</v>
      </c>
      <c r="P1713" s="290" t="s">
        <v>999</v>
      </c>
      <c r="Q1713" s="291" t="s">
        <v>4623</v>
      </c>
      <c r="R1713" s="276"/>
      <c r="S1713" s="277">
        <f>IF(OR(C1713="",C1713=T$4),NA(),MATCH($B1713&amp;$C1713,'Smelter Reference List'!$J:$J,0))</f>
        <v>442</v>
      </c>
      <c r="T1713" s="278"/>
      <c r="U1713" s="278"/>
      <c r="V1713" s="278"/>
      <c r="W1713" s="278"/>
    </row>
    <row r="1714" spans="1:23" s="269" customFormat="1" ht="20.25">
      <c r="A1714" s="267"/>
      <c r="B1714" s="275" t="s">
        <v>2437</v>
      </c>
      <c r="C1714" s="275" t="s">
        <v>3831</v>
      </c>
      <c r="D1714" s="168" t="s">
        <v>7322</v>
      </c>
      <c r="E1714" s="168" t="s">
        <v>2351</v>
      </c>
      <c r="F1714" s="168" t="s">
        <v>4623</v>
      </c>
      <c r="G1714" s="168" t="s">
        <v>4623</v>
      </c>
      <c r="H1714" s="292" t="s">
        <v>7323</v>
      </c>
      <c r="I1714" s="293" t="s">
        <v>4623</v>
      </c>
      <c r="J1714" s="293" t="s">
        <v>4623</v>
      </c>
      <c r="K1714" s="290" t="s">
        <v>7324</v>
      </c>
      <c r="L1714" s="290" t="s">
        <v>7325</v>
      </c>
      <c r="M1714" s="290" t="s">
        <v>4623</v>
      </c>
      <c r="N1714" s="290" t="s">
        <v>4623</v>
      </c>
      <c r="O1714" s="290" t="s">
        <v>4623</v>
      </c>
      <c r="P1714" s="290" t="s">
        <v>999</v>
      </c>
      <c r="Q1714" s="291" t="s">
        <v>4623</v>
      </c>
      <c r="R1714" s="276"/>
      <c r="S1714" s="277">
        <f>IF(OR(C1714="",C1714=T$4),NA(),MATCH($B1714&amp;$C1714,'Smelter Reference List'!$J:$J,0))</f>
        <v>442</v>
      </c>
      <c r="T1714" s="278"/>
      <c r="U1714" s="278"/>
      <c r="V1714" s="278"/>
      <c r="W1714" s="278"/>
    </row>
    <row r="1715" spans="1:23" s="269" customFormat="1" ht="20.25">
      <c r="A1715" s="267"/>
      <c r="B1715" s="275" t="s">
        <v>2437</v>
      </c>
      <c r="C1715" s="275" t="s">
        <v>3831</v>
      </c>
      <c r="D1715" s="168" t="s">
        <v>7326</v>
      </c>
      <c r="E1715" s="168" t="s">
        <v>2351</v>
      </c>
      <c r="F1715" s="168" t="s">
        <v>4623</v>
      </c>
      <c r="G1715" s="168" t="s">
        <v>4623</v>
      </c>
      <c r="H1715" s="292" t="s">
        <v>4623</v>
      </c>
      <c r="I1715" s="293" t="s">
        <v>4623</v>
      </c>
      <c r="J1715" s="293" t="s">
        <v>4623</v>
      </c>
      <c r="K1715" s="290" t="s">
        <v>4623</v>
      </c>
      <c r="L1715" s="290" t="s">
        <v>4623</v>
      </c>
      <c r="M1715" s="290" t="s">
        <v>4623</v>
      </c>
      <c r="N1715" s="290" t="s">
        <v>4623</v>
      </c>
      <c r="O1715" s="290" t="s">
        <v>4623</v>
      </c>
      <c r="P1715" s="290" t="s">
        <v>999</v>
      </c>
      <c r="Q1715" s="291" t="s">
        <v>4623</v>
      </c>
      <c r="R1715" s="276"/>
      <c r="S1715" s="277">
        <f>IF(OR(C1715="",C1715=T$4),NA(),MATCH($B1715&amp;$C1715,'Smelter Reference List'!$J:$J,0))</f>
        <v>442</v>
      </c>
      <c r="T1715" s="278"/>
      <c r="U1715" s="278"/>
      <c r="V1715" s="278"/>
      <c r="W1715" s="278"/>
    </row>
    <row r="1716" spans="1:23" s="269" customFormat="1" ht="20.25">
      <c r="A1716" s="267"/>
      <c r="B1716" s="275" t="s">
        <v>2437</v>
      </c>
      <c r="C1716" s="275" t="s">
        <v>3831</v>
      </c>
      <c r="D1716" s="168" t="s">
        <v>7327</v>
      </c>
      <c r="E1716" s="168" t="s">
        <v>2351</v>
      </c>
      <c r="F1716" s="168" t="s">
        <v>4623</v>
      </c>
      <c r="G1716" s="168" t="s">
        <v>4623</v>
      </c>
      <c r="H1716" s="292" t="s">
        <v>4623</v>
      </c>
      <c r="I1716" s="293" t="s">
        <v>4623</v>
      </c>
      <c r="J1716" s="293" t="s">
        <v>4623</v>
      </c>
      <c r="K1716" s="290" t="s">
        <v>4623</v>
      </c>
      <c r="L1716" s="290" t="s">
        <v>4623</v>
      </c>
      <c r="M1716" s="290" t="s">
        <v>4623</v>
      </c>
      <c r="N1716" s="290" t="s">
        <v>4623</v>
      </c>
      <c r="O1716" s="290" t="s">
        <v>4623</v>
      </c>
      <c r="P1716" s="290" t="s">
        <v>999</v>
      </c>
      <c r="Q1716" s="291" t="s">
        <v>4623</v>
      </c>
      <c r="R1716" s="276"/>
      <c r="S1716" s="277">
        <f>IF(OR(C1716="",C1716=T$4),NA(),MATCH($B1716&amp;$C1716,'Smelter Reference List'!$J:$J,0))</f>
        <v>442</v>
      </c>
      <c r="T1716" s="278"/>
      <c r="U1716" s="278"/>
      <c r="V1716" s="278"/>
      <c r="W1716" s="278"/>
    </row>
    <row r="1717" spans="1:23" s="269" customFormat="1" ht="20.25">
      <c r="A1717" s="267"/>
      <c r="B1717" s="275" t="s">
        <v>2437</v>
      </c>
      <c r="C1717" s="275" t="s">
        <v>3831</v>
      </c>
      <c r="D1717" s="168" t="s">
        <v>5509</v>
      </c>
      <c r="E1717" s="168" t="s">
        <v>2351</v>
      </c>
      <c r="F1717" s="168" t="s">
        <v>4623</v>
      </c>
      <c r="G1717" s="168" t="s">
        <v>4623</v>
      </c>
      <c r="H1717" s="292" t="s">
        <v>4623</v>
      </c>
      <c r="I1717" s="293" t="s">
        <v>4623</v>
      </c>
      <c r="J1717" s="293" t="s">
        <v>4623</v>
      </c>
      <c r="K1717" s="290" t="s">
        <v>4623</v>
      </c>
      <c r="L1717" s="290" t="s">
        <v>4623</v>
      </c>
      <c r="M1717" s="290" t="s">
        <v>4623</v>
      </c>
      <c r="N1717" s="290" t="s">
        <v>4623</v>
      </c>
      <c r="O1717" s="290" t="s">
        <v>4623</v>
      </c>
      <c r="P1717" s="290" t="s">
        <v>999</v>
      </c>
      <c r="Q1717" s="291" t="s">
        <v>4623</v>
      </c>
      <c r="R1717" s="276"/>
      <c r="S1717" s="277">
        <f>IF(OR(C1717="",C1717=T$4),NA(),MATCH($B1717&amp;$C1717,'Smelter Reference List'!$J:$J,0))</f>
        <v>442</v>
      </c>
      <c r="T1717" s="278"/>
      <c r="U1717" s="278"/>
      <c r="V1717" s="278"/>
      <c r="W1717" s="278"/>
    </row>
    <row r="1718" spans="1:23" s="269" customFormat="1" ht="20.25">
      <c r="A1718" s="267"/>
      <c r="B1718" s="275" t="s">
        <v>2437</v>
      </c>
      <c r="C1718" s="275" t="s">
        <v>3831</v>
      </c>
      <c r="D1718" s="168" t="s">
        <v>7328</v>
      </c>
      <c r="E1718" s="168" t="s">
        <v>2351</v>
      </c>
      <c r="F1718" s="168" t="s">
        <v>4623</v>
      </c>
      <c r="G1718" s="168" t="s">
        <v>4623</v>
      </c>
      <c r="H1718" s="292" t="s">
        <v>4623</v>
      </c>
      <c r="I1718" s="293" t="s">
        <v>4623</v>
      </c>
      <c r="J1718" s="293" t="s">
        <v>4623</v>
      </c>
      <c r="K1718" s="290" t="s">
        <v>4623</v>
      </c>
      <c r="L1718" s="290" t="s">
        <v>4623</v>
      </c>
      <c r="M1718" s="290" t="s">
        <v>4623</v>
      </c>
      <c r="N1718" s="290" t="s">
        <v>4623</v>
      </c>
      <c r="O1718" s="290" t="s">
        <v>4623</v>
      </c>
      <c r="P1718" s="290" t="s">
        <v>999</v>
      </c>
      <c r="Q1718" s="291" t="s">
        <v>4623</v>
      </c>
      <c r="R1718" s="276"/>
      <c r="S1718" s="277">
        <f>IF(OR(C1718="",C1718=T$4),NA(),MATCH($B1718&amp;$C1718,'Smelter Reference List'!$J:$J,0))</f>
        <v>442</v>
      </c>
      <c r="T1718" s="278"/>
      <c r="U1718" s="278"/>
      <c r="V1718" s="278"/>
      <c r="W1718" s="278"/>
    </row>
    <row r="1719" spans="1:23" s="269" customFormat="1" ht="20.25">
      <c r="A1719" s="267"/>
      <c r="B1719" s="275" t="s">
        <v>2437</v>
      </c>
      <c r="C1719" s="275" t="s">
        <v>3831</v>
      </c>
      <c r="D1719" s="168" t="s">
        <v>7329</v>
      </c>
      <c r="E1719" s="168" t="s">
        <v>2351</v>
      </c>
      <c r="F1719" s="168" t="s">
        <v>4623</v>
      </c>
      <c r="G1719" s="168" t="s">
        <v>4623</v>
      </c>
      <c r="H1719" s="292" t="s">
        <v>3720</v>
      </c>
      <c r="I1719" s="293" t="s">
        <v>7330</v>
      </c>
      <c r="J1719" s="293" t="s">
        <v>7331</v>
      </c>
      <c r="K1719" s="290" t="s">
        <v>7332</v>
      </c>
      <c r="L1719" s="290" t="s">
        <v>5001</v>
      </c>
      <c r="M1719" s="290" t="s">
        <v>4792</v>
      </c>
      <c r="N1719" s="290" t="s">
        <v>4792</v>
      </c>
      <c r="O1719" s="290" t="s">
        <v>6092</v>
      </c>
      <c r="P1719" s="290" t="s">
        <v>999</v>
      </c>
      <c r="Q1719" s="291" t="s">
        <v>4623</v>
      </c>
      <c r="R1719" s="276"/>
      <c r="S1719" s="277">
        <f>IF(OR(C1719="",C1719=T$4),NA(),MATCH($B1719&amp;$C1719,'Smelter Reference List'!$J:$J,0))</f>
        <v>442</v>
      </c>
      <c r="T1719" s="278"/>
      <c r="U1719" s="278"/>
      <c r="V1719" s="278"/>
      <c r="W1719" s="278"/>
    </row>
    <row r="1720" spans="1:23" s="269" customFormat="1" ht="20.25">
      <c r="A1720" s="267"/>
      <c r="B1720" s="275" t="s">
        <v>2437</v>
      </c>
      <c r="C1720" s="275" t="s">
        <v>3831</v>
      </c>
      <c r="D1720" s="168" t="s">
        <v>7333</v>
      </c>
      <c r="E1720" s="168" t="s">
        <v>2351</v>
      </c>
      <c r="F1720" s="168" t="s">
        <v>4623</v>
      </c>
      <c r="G1720" s="168" t="s">
        <v>4623</v>
      </c>
      <c r="H1720" s="292" t="s">
        <v>4623</v>
      </c>
      <c r="I1720" s="293" t="s">
        <v>4623</v>
      </c>
      <c r="J1720" s="293" t="s">
        <v>4623</v>
      </c>
      <c r="K1720" s="290" t="s">
        <v>4623</v>
      </c>
      <c r="L1720" s="290" t="s">
        <v>4623</v>
      </c>
      <c r="M1720" s="290" t="s">
        <v>4623</v>
      </c>
      <c r="N1720" s="290" t="s">
        <v>4623</v>
      </c>
      <c r="O1720" s="290" t="s">
        <v>4623</v>
      </c>
      <c r="P1720" s="290" t="s">
        <v>999</v>
      </c>
      <c r="Q1720" s="291" t="s">
        <v>4623</v>
      </c>
      <c r="R1720" s="276"/>
      <c r="S1720" s="277">
        <f>IF(OR(C1720="",C1720=T$4),NA(),MATCH($B1720&amp;$C1720,'Smelter Reference List'!$J:$J,0))</f>
        <v>442</v>
      </c>
      <c r="T1720" s="278"/>
      <c r="U1720" s="278"/>
      <c r="V1720" s="278"/>
      <c r="W1720" s="278"/>
    </row>
    <row r="1721" spans="1:23" s="269" customFormat="1" ht="20.25">
      <c r="A1721" s="267"/>
      <c r="B1721" s="275" t="s">
        <v>2437</v>
      </c>
      <c r="C1721" s="275" t="s">
        <v>3831</v>
      </c>
      <c r="D1721" s="168" t="s">
        <v>5306</v>
      </c>
      <c r="E1721" s="168" t="s">
        <v>2351</v>
      </c>
      <c r="F1721" s="168" t="s">
        <v>4623</v>
      </c>
      <c r="G1721" s="168" t="s">
        <v>4623</v>
      </c>
      <c r="H1721" s="292" t="s">
        <v>4623</v>
      </c>
      <c r="I1721" s="293" t="s">
        <v>4623</v>
      </c>
      <c r="J1721" s="293" t="s">
        <v>4623</v>
      </c>
      <c r="K1721" s="290" t="s">
        <v>4623</v>
      </c>
      <c r="L1721" s="290" t="s">
        <v>4623</v>
      </c>
      <c r="M1721" s="290" t="s">
        <v>4623</v>
      </c>
      <c r="N1721" s="290" t="s">
        <v>4623</v>
      </c>
      <c r="O1721" s="290" t="s">
        <v>4623</v>
      </c>
      <c r="P1721" s="290" t="s">
        <v>999</v>
      </c>
      <c r="Q1721" s="291" t="s">
        <v>4623</v>
      </c>
      <c r="R1721" s="276"/>
      <c r="S1721" s="277">
        <f>IF(OR(C1721="",C1721=T$4),NA(),MATCH($B1721&amp;$C1721,'Smelter Reference List'!$J:$J,0))</f>
        <v>442</v>
      </c>
      <c r="T1721" s="278"/>
      <c r="U1721" s="278"/>
      <c r="V1721" s="278"/>
      <c r="W1721" s="278"/>
    </row>
    <row r="1722" spans="1:23" s="269" customFormat="1" ht="20.25">
      <c r="A1722" s="267"/>
      <c r="B1722" s="275" t="s">
        <v>2437</v>
      </c>
      <c r="C1722" s="275" t="s">
        <v>3831</v>
      </c>
      <c r="D1722" s="168" t="s">
        <v>7334</v>
      </c>
      <c r="E1722" s="168" t="s">
        <v>2359</v>
      </c>
      <c r="F1722" s="168" t="s">
        <v>4623</v>
      </c>
      <c r="G1722" s="168" t="s">
        <v>4623</v>
      </c>
      <c r="H1722" s="292" t="s">
        <v>4623</v>
      </c>
      <c r="I1722" s="293" t="s">
        <v>4623</v>
      </c>
      <c r="J1722" s="293" t="s">
        <v>4623</v>
      </c>
      <c r="K1722" s="290" t="s">
        <v>4623</v>
      </c>
      <c r="L1722" s="290" t="s">
        <v>4623</v>
      </c>
      <c r="M1722" s="290" t="s">
        <v>4623</v>
      </c>
      <c r="N1722" s="290" t="s">
        <v>4623</v>
      </c>
      <c r="O1722" s="290" t="s">
        <v>4623</v>
      </c>
      <c r="P1722" s="290" t="s">
        <v>999</v>
      </c>
      <c r="Q1722" s="291" t="s">
        <v>7335</v>
      </c>
      <c r="R1722" s="276"/>
      <c r="S1722" s="277">
        <f>IF(OR(C1722="",C1722=T$4),NA(),MATCH($B1722&amp;$C1722,'Smelter Reference List'!$J:$J,0))</f>
        <v>442</v>
      </c>
      <c r="T1722" s="278"/>
      <c r="U1722" s="278"/>
      <c r="V1722" s="278"/>
      <c r="W1722" s="278"/>
    </row>
    <row r="1723" spans="1:23" s="269" customFormat="1" ht="20.25">
      <c r="A1723" s="267"/>
      <c r="B1723" s="275" t="s">
        <v>2437</v>
      </c>
      <c r="C1723" s="275" t="s">
        <v>3831</v>
      </c>
      <c r="D1723" s="168" t="s">
        <v>6552</v>
      </c>
      <c r="E1723" s="168" t="s">
        <v>2359</v>
      </c>
      <c r="F1723" s="168" t="s">
        <v>4623</v>
      </c>
      <c r="G1723" s="168" t="s">
        <v>4623</v>
      </c>
      <c r="H1723" s="292" t="s">
        <v>4623</v>
      </c>
      <c r="I1723" s="293" t="s">
        <v>4623</v>
      </c>
      <c r="J1723" s="293" t="s">
        <v>4623</v>
      </c>
      <c r="K1723" s="290" t="s">
        <v>4623</v>
      </c>
      <c r="L1723" s="290" t="s">
        <v>4623</v>
      </c>
      <c r="M1723" s="290" t="s">
        <v>6377</v>
      </c>
      <c r="N1723" s="290" t="s">
        <v>5000</v>
      </c>
      <c r="O1723" s="290" t="s">
        <v>5000</v>
      </c>
      <c r="P1723" s="290" t="s">
        <v>999</v>
      </c>
      <c r="Q1723" s="291" t="s">
        <v>4623</v>
      </c>
      <c r="R1723" s="276"/>
      <c r="S1723" s="277">
        <f>IF(OR(C1723="",C1723=T$4),NA(),MATCH($B1723&amp;$C1723,'Smelter Reference List'!$J:$J,0))</f>
        <v>442</v>
      </c>
      <c r="T1723" s="278"/>
      <c r="U1723" s="278"/>
      <c r="V1723" s="278"/>
      <c r="W1723" s="278"/>
    </row>
    <row r="1724" spans="1:23" s="269" customFormat="1" ht="20.25">
      <c r="A1724" s="267"/>
      <c r="B1724" s="275" t="s">
        <v>2437</v>
      </c>
      <c r="C1724" s="275" t="s">
        <v>3831</v>
      </c>
      <c r="D1724" s="168" t="s">
        <v>7336</v>
      </c>
      <c r="E1724" s="168" t="s">
        <v>2359</v>
      </c>
      <c r="F1724" s="168" t="s">
        <v>4623</v>
      </c>
      <c r="G1724" s="168" t="s">
        <v>4623</v>
      </c>
      <c r="H1724" s="292" t="s">
        <v>4623</v>
      </c>
      <c r="I1724" s="293" t="s">
        <v>4623</v>
      </c>
      <c r="J1724" s="293" t="s">
        <v>4623</v>
      </c>
      <c r="K1724" s="290" t="s">
        <v>4623</v>
      </c>
      <c r="L1724" s="290" t="s">
        <v>4623</v>
      </c>
      <c r="M1724" s="290" t="s">
        <v>4623</v>
      </c>
      <c r="N1724" s="290" t="s">
        <v>4623</v>
      </c>
      <c r="O1724" s="290" t="s">
        <v>4623</v>
      </c>
      <c r="P1724" s="290" t="s">
        <v>999</v>
      </c>
      <c r="Q1724" s="291" t="s">
        <v>4623</v>
      </c>
      <c r="R1724" s="276"/>
      <c r="S1724" s="277">
        <f>IF(OR(C1724="",C1724=T$4),NA(),MATCH($B1724&amp;$C1724,'Smelter Reference List'!$J:$J,0))</f>
        <v>442</v>
      </c>
      <c r="T1724" s="278"/>
      <c r="U1724" s="278"/>
      <c r="V1724" s="278"/>
      <c r="W1724" s="278"/>
    </row>
    <row r="1725" spans="1:23" s="269" customFormat="1" ht="20.25">
      <c r="A1725" s="267"/>
      <c r="B1725" s="275" t="s">
        <v>2437</v>
      </c>
      <c r="C1725" s="275" t="s">
        <v>3831</v>
      </c>
      <c r="D1725" s="168" t="s">
        <v>7337</v>
      </c>
      <c r="E1725" s="168" t="s">
        <v>2359</v>
      </c>
      <c r="F1725" s="168" t="s">
        <v>4623</v>
      </c>
      <c r="G1725" s="168" t="s">
        <v>4623</v>
      </c>
      <c r="H1725" s="292" t="s">
        <v>7338</v>
      </c>
      <c r="I1725" s="293" t="s">
        <v>7339</v>
      </c>
      <c r="J1725" s="293" t="s">
        <v>7340</v>
      </c>
      <c r="K1725" s="290" t="s">
        <v>7341</v>
      </c>
      <c r="L1725" s="290" t="s">
        <v>4623</v>
      </c>
      <c r="M1725" s="290" t="s">
        <v>4623</v>
      </c>
      <c r="N1725" s="290" t="s">
        <v>4623</v>
      </c>
      <c r="O1725" s="290" t="s">
        <v>4623</v>
      </c>
      <c r="P1725" s="290" t="s">
        <v>999</v>
      </c>
      <c r="Q1725" s="291" t="s">
        <v>4623</v>
      </c>
      <c r="R1725" s="276"/>
      <c r="S1725" s="277">
        <f>IF(OR(C1725="",C1725=T$4),NA(),MATCH($B1725&amp;$C1725,'Smelter Reference List'!$J:$J,0))</f>
        <v>442</v>
      </c>
      <c r="T1725" s="278"/>
      <c r="U1725" s="278"/>
      <c r="V1725" s="278"/>
      <c r="W1725" s="278"/>
    </row>
    <row r="1726" spans="1:23" s="269" customFormat="1" ht="20.25">
      <c r="A1726" s="267"/>
      <c r="B1726" s="275" t="s">
        <v>2437</v>
      </c>
      <c r="C1726" s="275" t="s">
        <v>3831</v>
      </c>
      <c r="D1726" s="168" t="s">
        <v>6579</v>
      </c>
      <c r="E1726" s="168" t="s">
        <v>2359</v>
      </c>
      <c r="F1726" s="168" t="s">
        <v>4623</v>
      </c>
      <c r="G1726" s="168" t="s">
        <v>4623</v>
      </c>
      <c r="H1726" s="292" t="s">
        <v>4623</v>
      </c>
      <c r="I1726" s="293" t="s">
        <v>4623</v>
      </c>
      <c r="J1726" s="293" t="s">
        <v>4623</v>
      </c>
      <c r="K1726" s="290" t="s">
        <v>4623</v>
      </c>
      <c r="L1726" s="290" t="s">
        <v>4623</v>
      </c>
      <c r="M1726" s="290" t="s">
        <v>4623</v>
      </c>
      <c r="N1726" s="290" t="s">
        <v>4623</v>
      </c>
      <c r="O1726" s="290" t="s">
        <v>4623</v>
      </c>
      <c r="P1726" s="290" t="s">
        <v>999</v>
      </c>
      <c r="Q1726" s="291" t="s">
        <v>7110</v>
      </c>
      <c r="R1726" s="276"/>
      <c r="S1726" s="277">
        <f>IF(OR(C1726="",C1726=T$4),NA(),MATCH($B1726&amp;$C1726,'Smelter Reference List'!$J:$J,0))</f>
        <v>442</v>
      </c>
      <c r="T1726" s="278"/>
      <c r="U1726" s="278"/>
      <c r="V1726" s="278"/>
      <c r="W1726" s="278"/>
    </row>
    <row r="1727" spans="1:23" s="269" customFormat="1" ht="20.25">
      <c r="A1727" s="267"/>
      <c r="B1727" s="275" t="s">
        <v>2437</v>
      </c>
      <c r="C1727" s="275" t="s">
        <v>3831</v>
      </c>
      <c r="D1727" s="168" t="s">
        <v>7342</v>
      </c>
      <c r="E1727" s="168" t="s">
        <v>2359</v>
      </c>
      <c r="F1727" s="168" t="s">
        <v>4623</v>
      </c>
      <c r="G1727" s="168" t="s">
        <v>4623</v>
      </c>
      <c r="H1727" s="292" t="s">
        <v>4623</v>
      </c>
      <c r="I1727" s="293" t="s">
        <v>4623</v>
      </c>
      <c r="J1727" s="293" t="s">
        <v>4623</v>
      </c>
      <c r="K1727" s="290" t="s">
        <v>4623</v>
      </c>
      <c r="L1727" s="290" t="s">
        <v>4623</v>
      </c>
      <c r="M1727" s="290" t="s">
        <v>4623</v>
      </c>
      <c r="N1727" s="290" t="s">
        <v>4623</v>
      </c>
      <c r="O1727" s="290" t="s">
        <v>4623</v>
      </c>
      <c r="P1727" s="290" t="s">
        <v>999</v>
      </c>
      <c r="Q1727" s="291" t="s">
        <v>4623</v>
      </c>
      <c r="R1727" s="276"/>
      <c r="S1727" s="277">
        <f>IF(OR(C1727="",C1727=T$4),NA(),MATCH($B1727&amp;$C1727,'Smelter Reference List'!$J:$J,0))</f>
        <v>442</v>
      </c>
      <c r="T1727" s="278"/>
      <c r="U1727" s="278"/>
      <c r="V1727" s="278"/>
      <c r="W1727" s="278"/>
    </row>
    <row r="1728" spans="1:23" s="269" customFormat="1" ht="20.25">
      <c r="A1728" s="267"/>
      <c r="B1728" s="275" t="s">
        <v>2437</v>
      </c>
      <c r="C1728" s="275" t="s">
        <v>3831</v>
      </c>
      <c r="D1728" s="168" t="s">
        <v>7343</v>
      </c>
      <c r="E1728" s="168" t="s">
        <v>2359</v>
      </c>
      <c r="F1728" s="168" t="s">
        <v>4623</v>
      </c>
      <c r="G1728" s="168" t="s">
        <v>4623</v>
      </c>
      <c r="H1728" s="292" t="s">
        <v>4623</v>
      </c>
      <c r="I1728" s="293" t="s">
        <v>4623</v>
      </c>
      <c r="J1728" s="293" t="s">
        <v>4623</v>
      </c>
      <c r="K1728" s="290" t="s">
        <v>4623</v>
      </c>
      <c r="L1728" s="290" t="s">
        <v>4623</v>
      </c>
      <c r="M1728" s="290" t="s">
        <v>4623</v>
      </c>
      <c r="N1728" s="290" t="s">
        <v>4623</v>
      </c>
      <c r="O1728" s="290" t="s">
        <v>4623</v>
      </c>
      <c r="P1728" s="290" t="s">
        <v>999</v>
      </c>
      <c r="Q1728" s="291" t="s">
        <v>4623</v>
      </c>
      <c r="R1728" s="276"/>
      <c r="S1728" s="277">
        <f>IF(OR(C1728="",C1728=T$4),NA(),MATCH($B1728&amp;$C1728,'Smelter Reference List'!$J:$J,0))</f>
        <v>442</v>
      </c>
      <c r="T1728" s="278"/>
      <c r="U1728" s="278"/>
      <c r="V1728" s="278"/>
      <c r="W1728" s="278"/>
    </row>
    <row r="1729" spans="1:23" s="269" customFormat="1" ht="20.25">
      <c r="A1729" s="267"/>
      <c r="B1729" s="275" t="s">
        <v>2437</v>
      </c>
      <c r="C1729" s="275" t="s">
        <v>3831</v>
      </c>
      <c r="D1729" s="168" t="s">
        <v>7344</v>
      </c>
      <c r="E1729" s="168" t="s">
        <v>2359</v>
      </c>
      <c r="F1729" s="168" t="s">
        <v>4623</v>
      </c>
      <c r="G1729" s="168" t="s">
        <v>4623</v>
      </c>
      <c r="H1729" s="292" t="s">
        <v>4623</v>
      </c>
      <c r="I1729" s="293" t="s">
        <v>4623</v>
      </c>
      <c r="J1729" s="293" t="s">
        <v>4623</v>
      </c>
      <c r="K1729" s="290" t="s">
        <v>4623</v>
      </c>
      <c r="L1729" s="290" t="s">
        <v>4623</v>
      </c>
      <c r="M1729" s="290" t="s">
        <v>4623</v>
      </c>
      <c r="N1729" s="290" t="s">
        <v>4623</v>
      </c>
      <c r="O1729" s="290" t="s">
        <v>4623</v>
      </c>
      <c r="P1729" s="290" t="s">
        <v>999</v>
      </c>
      <c r="Q1729" s="291" t="s">
        <v>4623</v>
      </c>
      <c r="R1729" s="276"/>
      <c r="S1729" s="277">
        <f>IF(OR(C1729="",C1729=T$4),NA(),MATCH($B1729&amp;$C1729,'Smelter Reference List'!$J:$J,0))</f>
        <v>442</v>
      </c>
      <c r="T1729" s="278"/>
      <c r="U1729" s="278"/>
      <c r="V1729" s="278"/>
      <c r="W1729" s="278"/>
    </row>
    <row r="1730" spans="1:23" s="269" customFormat="1" ht="20.25">
      <c r="A1730" s="267"/>
      <c r="B1730" s="275" t="s">
        <v>2437</v>
      </c>
      <c r="C1730" s="275" t="s">
        <v>3831</v>
      </c>
      <c r="D1730" s="168" t="s">
        <v>7345</v>
      </c>
      <c r="E1730" s="168" t="s">
        <v>2359</v>
      </c>
      <c r="F1730" s="168" t="s">
        <v>4623</v>
      </c>
      <c r="G1730" s="168" t="s">
        <v>4623</v>
      </c>
      <c r="H1730" s="292" t="s">
        <v>4623</v>
      </c>
      <c r="I1730" s="293" t="s">
        <v>4623</v>
      </c>
      <c r="J1730" s="293" t="s">
        <v>4623</v>
      </c>
      <c r="K1730" s="290" t="s">
        <v>4623</v>
      </c>
      <c r="L1730" s="290" t="s">
        <v>4623</v>
      </c>
      <c r="M1730" s="290" t="s">
        <v>4623</v>
      </c>
      <c r="N1730" s="290" t="s">
        <v>4623</v>
      </c>
      <c r="O1730" s="290" t="s">
        <v>4623</v>
      </c>
      <c r="P1730" s="290" t="s">
        <v>999</v>
      </c>
      <c r="Q1730" s="291" t="s">
        <v>4623</v>
      </c>
      <c r="R1730" s="276"/>
      <c r="S1730" s="277">
        <f>IF(OR(C1730="",C1730=T$4),NA(),MATCH($B1730&amp;$C1730,'Smelter Reference List'!$J:$J,0))</f>
        <v>442</v>
      </c>
      <c r="T1730" s="278"/>
      <c r="U1730" s="278"/>
      <c r="V1730" s="278"/>
      <c r="W1730" s="278"/>
    </row>
    <row r="1731" spans="1:23" s="269" customFormat="1" ht="20.25">
      <c r="A1731" s="267"/>
      <c r="B1731" s="275" t="s">
        <v>2437</v>
      </c>
      <c r="C1731" s="275" t="s">
        <v>3831</v>
      </c>
      <c r="D1731" s="168" t="s">
        <v>7346</v>
      </c>
      <c r="E1731" s="168" t="s">
        <v>2359</v>
      </c>
      <c r="F1731" s="168" t="s">
        <v>4623</v>
      </c>
      <c r="G1731" s="168" t="s">
        <v>4623</v>
      </c>
      <c r="H1731" s="292" t="s">
        <v>4623</v>
      </c>
      <c r="I1731" s="293" t="s">
        <v>4623</v>
      </c>
      <c r="J1731" s="293" t="s">
        <v>4623</v>
      </c>
      <c r="K1731" s="290" t="s">
        <v>4623</v>
      </c>
      <c r="L1731" s="290" t="s">
        <v>4623</v>
      </c>
      <c r="M1731" s="290" t="s">
        <v>4623</v>
      </c>
      <c r="N1731" s="290" t="s">
        <v>4623</v>
      </c>
      <c r="O1731" s="290" t="s">
        <v>4623</v>
      </c>
      <c r="P1731" s="290" t="s">
        <v>999</v>
      </c>
      <c r="Q1731" s="291" t="s">
        <v>4623</v>
      </c>
      <c r="R1731" s="276"/>
      <c r="S1731" s="277">
        <f>IF(OR(C1731="",C1731=T$4),NA(),MATCH($B1731&amp;$C1731,'Smelter Reference List'!$J:$J,0))</f>
        <v>442</v>
      </c>
      <c r="T1731" s="278"/>
      <c r="U1731" s="278"/>
      <c r="V1731" s="278"/>
      <c r="W1731" s="278"/>
    </row>
    <row r="1732" spans="1:23" s="269" customFormat="1" ht="20.25">
      <c r="A1732" s="267"/>
      <c r="B1732" s="275" t="s">
        <v>2437</v>
      </c>
      <c r="C1732" s="275" t="s">
        <v>3831</v>
      </c>
      <c r="D1732" s="168" t="s">
        <v>7347</v>
      </c>
      <c r="E1732" s="168" t="s">
        <v>2359</v>
      </c>
      <c r="F1732" s="168" t="s">
        <v>4623</v>
      </c>
      <c r="G1732" s="168" t="s">
        <v>4623</v>
      </c>
      <c r="H1732" s="292" t="s">
        <v>7348</v>
      </c>
      <c r="I1732" s="293" t="s">
        <v>4623</v>
      </c>
      <c r="J1732" s="293" t="s">
        <v>7349</v>
      </c>
      <c r="K1732" s="290" t="s">
        <v>7350</v>
      </c>
      <c r="L1732" s="290" t="s">
        <v>4623</v>
      </c>
      <c r="M1732" s="290" t="s">
        <v>4623</v>
      </c>
      <c r="N1732" s="290" t="s">
        <v>4623</v>
      </c>
      <c r="O1732" s="290" t="s">
        <v>4623</v>
      </c>
      <c r="P1732" s="290" t="s">
        <v>999</v>
      </c>
      <c r="Q1732" s="291" t="s">
        <v>4623</v>
      </c>
      <c r="R1732" s="276"/>
      <c r="S1732" s="277">
        <f>IF(OR(C1732="",C1732=T$4),NA(),MATCH($B1732&amp;$C1732,'Smelter Reference List'!$J:$J,0))</f>
        <v>442</v>
      </c>
      <c r="T1732" s="278"/>
      <c r="U1732" s="278"/>
      <c r="V1732" s="278"/>
      <c r="W1732" s="278"/>
    </row>
    <row r="1733" spans="1:23" s="269" customFormat="1" ht="20.25">
      <c r="A1733" s="267"/>
      <c r="B1733" s="275" t="s">
        <v>2437</v>
      </c>
      <c r="C1733" s="275" t="s">
        <v>3831</v>
      </c>
      <c r="D1733" s="168" t="s">
        <v>2045</v>
      </c>
      <c r="E1733" s="168" t="s">
        <v>2359</v>
      </c>
      <c r="F1733" s="168" t="s">
        <v>4623</v>
      </c>
      <c r="G1733" s="168" t="s">
        <v>4623</v>
      </c>
      <c r="H1733" s="292" t="s">
        <v>4623</v>
      </c>
      <c r="I1733" s="293" t="s">
        <v>4623</v>
      </c>
      <c r="J1733" s="293" t="s">
        <v>4623</v>
      </c>
      <c r="K1733" s="290" t="s">
        <v>4623</v>
      </c>
      <c r="L1733" s="290" t="s">
        <v>4623</v>
      </c>
      <c r="M1733" s="290" t="s">
        <v>4623</v>
      </c>
      <c r="N1733" s="290" t="s">
        <v>4623</v>
      </c>
      <c r="O1733" s="290" t="s">
        <v>4623</v>
      </c>
      <c r="P1733" s="290" t="s">
        <v>999</v>
      </c>
      <c r="Q1733" s="291" t="s">
        <v>4623</v>
      </c>
      <c r="R1733" s="276"/>
      <c r="S1733" s="277">
        <f>IF(OR(C1733="",C1733=T$4),NA(),MATCH($B1733&amp;$C1733,'Smelter Reference List'!$J:$J,0))</f>
        <v>442</v>
      </c>
      <c r="T1733" s="278"/>
      <c r="U1733" s="278"/>
      <c r="V1733" s="278"/>
      <c r="W1733" s="278"/>
    </row>
    <row r="1734" spans="1:23" s="269" customFormat="1" ht="20.25">
      <c r="A1734" s="267"/>
      <c r="B1734" s="275" t="s">
        <v>2437</v>
      </c>
      <c r="C1734" s="275" t="s">
        <v>3831</v>
      </c>
      <c r="D1734" s="168" t="s">
        <v>7351</v>
      </c>
      <c r="E1734" s="168" t="s">
        <v>2359</v>
      </c>
      <c r="F1734" s="168" t="s">
        <v>4623</v>
      </c>
      <c r="G1734" s="168" t="s">
        <v>4623</v>
      </c>
      <c r="H1734" s="292" t="s">
        <v>4623</v>
      </c>
      <c r="I1734" s="293" t="s">
        <v>4623</v>
      </c>
      <c r="J1734" s="293" t="s">
        <v>4623</v>
      </c>
      <c r="K1734" s="290" t="s">
        <v>4623</v>
      </c>
      <c r="L1734" s="290" t="s">
        <v>4623</v>
      </c>
      <c r="M1734" s="290" t="s">
        <v>4623</v>
      </c>
      <c r="N1734" s="290" t="s">
        <v>4623</v>
      </c>
      <c r="O1734" s="290" t="s">
        <v>4623</v>
      </c>
      <c r="P1734" s="290" t="s">
        <v>999</v>
      </c>
      <c r="Q1734" s="291" t="s">
        <v>4623</v>
      </c>
      <c r="R1734" s="276"/>
      <c r="S1734" s="277">
        <f>IF(OR(C1734="",C1734=T$4),NA(),MATCH($B1734&amp;$C1734,'Smelter Reference List'!$J:$J,0))</f>
        <v>442</v>
      </c>
      <c r="T1734" s="278"/>
      <c r="U1734" s="278"/>
      <c r="V1734" s="278"/>
      <c r="W1734" s="278"/>
    </row>
    <row r="1735" spans="1:23" s="269" customFormat="1" ht="20.25">
      <c r="A1735" s="267"/>
      <c r="B1735" s="275" t="s">
        <v>2437</v>
      </c>
      <c r="C1735" s="275" t="s">
        <v>3831</v>
      </c>
      <c r="D1735" s="168" t="s">
        <v>7352</v>
      </c>
      <c r="E1735" s="168" t="s">
        <v>2359</v>
      </c>
      <c r="F1735" s="168" t="s">
        <v>4623</v>
      </c>
      <c r="G1735" s="168" t="s">
        <v>4623</v>
      </c>
      <c r="H1735" s="292" t="s">
        <v>4623</v>
      </c>
      <c r="I1735" s="293" t="s">
        <v>4623</v>
      </c>
      <c r="J1735" s="293" t="s">
        <v>4623</v>
      </c>
      <c r="K1735" s="290" t="s">
        <v>4623</v>
      </c>
      <c r="L1735" s="290" t="s">
        <v>4623</v>
      </c>
      <c r="M1735" s="290" t="s">
        <v>4623</v>
      </c>
      <c r="N1735" s="290" t="s">
        <v>4623</v>
      </c>
      <c r="O1735" s="290" t="s">
        <v>4623</v>
      </c>
      <c r="P1735" s="290" t="s">
        <v>999</v>
      </c>
      <c r="Q1735" s="291" t="s">
        <v>4623</v>
      </c>
      <c r="R1735" s="276"/>
      <c r="S1735" s="277">
        <f>IF(OR(C1735="",C1735=T$4),NA(),MATCH($B1735&amp;$C1735,'Smelter Reference List'!$J:$J,0))</f>
        <v>442</v>
      </c>
      <c r="T1735" s="278"/>
      <c r="U1735" s="278"/>
      <c r="V1735" s="278"/>
      <c r="W1735" s="278"/>
    </row>
    <row r="1736" spans="1:23" s="269" customFormat="1" ht="20.25">
      <c r="A1736" s="267"/>
      <c r="B1736" s="275" t="s">
        <v>2437</v>
      </c>
      <c r="C1736" s="275" t="s">
        <v>3831</v>
      </c>
      <c r="D1736" s="168" t="s">
        <v>7353</v>
      </c>
      <c r="E1736" s="168" t="s">
        <v>2359</v>
      </c>
      <c r="F1736" s="168" t="s">
        <v>4623</v>
      </c>
      <c r="G1736" s="168" t="s">
        <v>4623</v>
      </c>
      <c r="H1736" s="292" t="s">
        <v>7354</v>
      </c>
      <c r="I1736" s="293" t="s">
        <v>7355</v>
      </c>
      <c r="J1736" s="293" t="s">
        <v>4623</v>
      </c>
      <c r="K1736" s="290" t="s">
        <v>7356</v>
      </c>
      <c r="L1736" s="290" t="s">
        <v>4623</v>
      </c>
      <c r="M1736" s="290" t="s">
        <v>4623</v>
      </c>
      <c r="N1736" s="290" t="s">
        <v>4623</v>
      </c>
      <c r="O1736" s="290" t="s">
        <v>4623</v>
      </c>
      <c r="P1736" s="290" t="s">
        <v>999</v>
      </c>
      <c r="Q1736" s="291" t="s">
        <v>4623</v>
      </c>
      <c r="R1736" s="276"/>
      <c r="S1736" s="277">
        <f>IF(OR(C1736="",C1736=T$4),NA(),MATCH($B1736&amp;$C1736,'Smelter Reference List'!$J:$J,0))</f>
        <v>442</v>
      </c>
      <c r="T1736" s="278"/>
      <c r="U1736" s="278"/>
      <c r="V1736" s="278"/>
      <c r="W1736" s="278"/>
    </row>
    <row r="1737" spans="1:23" s="269" customFormat="1" ht="20.25">
      <c r="A1737" s="267"/>
      <c r="B1737" s="275" t="s">
        <v>2437</v>
      </c>
      <c r="C1737" s="275" t="s">
        <v>3831</v>
      </c>
      <c r="D1737" s="168" t="s">
        <v>7357</v>
      </c>
      <c r="E1737" s="168" t="s">
        <v>2359</v>
      </c>
      <c r="F1737" s="168" t="s">
        <v>4623</v>
      </c>
      <c r="G1737" s="168" t="s">
        <v>4623</v>
      </c>
      <c r="H1737" s="292" t="s">
        <v>7339</v>
      </c>
      <c r="I1737" s="293" t="s">
        <v>4623</v>
      </c>
      <c r="J1737" s="293" t="s">
        <v>7358</v>
      </c>
      <c r="K1737" s="290" t="s">
        <v>7359</v>
      </c>
      <c r="L1737" s="290" t="s">
        <v>4623</v>
      </c>
      <c r="M1737" s="290" t="s">
        <v>4623</v>
      </c>
      <c r="N1737" s="290" t="s">
        <v>4623</v>
      </c>
      <c r="O1737" s="290" t="s">
        <v>4623</v>
      </c>
      <c r="P1737" s="290" t="s">
        <v>999</v>
      </c>
      <c r="Q1737" s="291" t="s">
        <v>4623</v>
      </c>
      <c r="R1737" s="276"/>
      <c r="S1737" s="277">
        <f>IF(OR(C1737="",C1737=T$4),NA(),MATCH($B1737&amp;$C1737,'Smelter Reference List'!$J:$J,0))</f>
        <v>442</v>
      </c>
      <c r="T1737" s="278"/>
      <c r="U1737" s="278"/>
      <c r="V1737" s="278"/>
      <c r="W1737" s="278"/>
    </row>
    <row r="1738" spans="1:23" s="269" customFormat="1" ht="20.25">
      <c r="A1738" s="267"/>
      <c r="B1738" s="275" t="s">
        <v>2437</v>
      </c>
      <c r="C1738" s="275" t="s">
        <v>3831</v>
      </c>
      <c r="D1738" s="168" t="s">
        <v>7360</v>
      </c>
      <c r="E1738" s="168" t="s">
        <v>2362</v>
      </c>
      <c r="F1738" s="168" t="s">
        <v>4623</v>
      </c>
      <c r="G1738" s="168" t="s">
        <v>4623</v>
      </c>
      <c r="H1738" s="292" t="s">
        <v>4623</v>
      </c>
      <c r="I1738" s="293" t="s">
        <v>4623</v>
      </c>
      <c r="J1738" s="293" t="s">
        <v>4623</v>
      </c>
      <c r="K1738" s="290" t="s">
        <v>4623</v>
      </c>
      <c r="L1738" s="290" t="s">
        <v>4623</v>
      </c>
      <c r="M1738" s="290" t="s">
        <v>4623</v>
      </c>
      <c r="N1738" s="290" t="s">
        <v>4623</v>
      </c>
      <c r="O1738" s="290" t="s">
        <v>4623</v>
      </c>
      <c r="P1738" s="290" t="s">
        <v>999</v>
      </c>
      <c r="Q1738" s="291" t="s">
        <v>4623</v>
      </c>
      <c r="R1738" s="276"/>
      <c r="S1738" s="277">
        <f>IF(OR(C1738="",C1738=T$4),NA(),MATCH($B1738&amp;$C1738,'Smelter Reference List'!$J:$J,0))</f>
        <v>442</v>
      </c>
      <c r="T1738" s="278"/>
      <c r="U1738" s="278"/>
      <c r="V1738" s="278"/>
      <c r="W1738" s="278"/>
    </row>
    <row r="1739" spans="1:23" s="269" customFormat="1" ht="20.25">
      <c r="A1739" s="267"/>
      <c r="B1739" s="275" t="s">
        <v>2437</v>
      </c>
      <c r="C1739" s="275" t="s">
        <v>3831</v>
      </c>
      <c r="D1739" s="168" t="s">
        <v>7361</v>
      </c>
      <c r="E1739" s="168" t="s">
        <v>2362</v>
      </c>
      <c r="F1739" s="168" t="s">
        <v>4623</v>
      </c>
      <c r="G1739" s="168" t="s">
        <v>4623</v>
      </c>
      <c r="H1739" s="292" t="s">
        <v>4623</v>
      </c>
      <c r="I1739" s="293" t="s">
        <v>4623</v>
      </c>
      <c r="J1739" s="293" t="s">
        <v>4623</v>
      </c>
      <c r="K1739" s="290" t="s">
        <v>4623</v>
      </c>
      <c r="L1739" s="290" t="s">
        <v>4623</v>
      </c>
      <c r="M1739" s="290" t="s">
        <v>4623</v>
      </c>
      <c r="N1739" s="290" t="s">
        <v>4623</v>
      </c>
      <c r="O1739" s="290" t="s">
        <v>4623</v>
      </c>
      <c r="P1739" s="290" t="s">
        <v>999</v>
      </c>
      <c r="Q1739" s="291" t="s">
        <v>4623</v>
      </c>
      <c r="R1739" s="276"/>
      <c r="S1739" s="277">
        <f>IF(OR(C1739="",C1739=T$4),NA(),MATCH($B1739&amp;$C1739,'Smelter Reference List'!$J:$J,0))</f>
        <v>442</v>
      </c>
      <c r="T1739" s="278"/>
      <c r="U1739" s="278"/>
      <c r="V1739" s="278"/>
      <c r="W1739" s="278"/>
    </row>
    <row r="1740" spans="1:23" s="269" customFormat="1" ht="20.25">
      <c r="A1740" s="267"/>
      <c r="B1740" s="275" t="s">
        <v>2437</v>
      </c>
      <c r="C1740" s="275" t="s">
        <v>3831</v>
      </c>
      <c r="D1740" s="168" t="s">
        <v>5613</v>
      </c>
      <c r="E1740" s="168" t="s">
        <v>2362</v>
      </c>
      <c r="F1740" s="168" t="s">
        <v>4623</v>
      </c>
      <c r="G1740" s="168" t="s">
        <v>4623</v>
      </c>
      <c r="H1740" s="292" t="s">
        <v>4623</v>
      </c>
      <c r="I1740" s="293" t="s">
        <v>4623</v>
      </c>
      <c r="J1740" s="293" t="s">
        <v>4623</v>
      </c>
      <c r="K1740" s="290" t="s">
        <v>4623</v>
      </c>
      <c r="L1740" s="290" t="s">
        <v>4623</v>
      </c>
      <c r="M1740" s="290" t="s">
        <v>4623</v>
      </c>
      <c r="N1740" s="290" t="s">
        <v>4623</v>
      </c>
      <c r="O1740" s="290" t="s">
        <v>4623</v>
      </c>
      <c r="P1740" s="290" t="s">
        <v>999</v>
      </c>
      <c r="Q1740" s="291" t="s">
        <v>4623</v>
      </c>
      <c r="R1740" s="276"/>
      <c r="S1740" s="277">
        <f>IF(OR(C1740="",C1740=T$4),NA(),MATCH($B1740&amp;$C1740,'Smelter Reference List'!$J:$J,0))</f>
        <v>442</v>
      </c>
      <c r="T1740" s="278"/>
      <c r="U1740" s="278"/>
      <c r="V1740" s="278"/>
      <c r="W1740" s="278"/>
    </row>
    <row r="1741" spans="1:23" s="269" customFormat="1" ht="20.25">
      <c r="A1741" s="267"/>
      <c r="B1741" s="275" t="s">
        <v>2437</v>
      </c>
      <c r="C1741" s="275" t="s">
        <v>3831</v>
      </c>
      <c r="D1741" s="168" t="s">
        <v>7362</v>
      </c>
      <c r="E1741" s="168" t="s">
        <v>2362</v>
      </c>
      <c r="F1741" s="168" t="s">
        <v>4623</v>
      </c>
      <c r="G1741" s="168" t="s">
        <v>4623</v>
      </c>
      <c r="H1741" s="292" t="s">
        <v>7363</v>
      </c>
      <c r="I1741" s="293" t="s">
        <v>3340</v>
      </c>
      <c r="J1741" s="293" t="s">
        <v>3341</v>
      </c>
      <c r="K1741" s="290" t="s">
        <v>4623</v>
      </c>
      <c r="L1741" s="290" t="s">
        <v>4623</v>
      </c>
      <c r="M1741" s="290" t="s">
        <v>4623</v>
      </c>
      <c r="N1741" s="290" t="s">
        <v>4623</v>
      </c>
      <c r="O1741" s="290" t="s">
        <v>4623</v>
      </c>
      <c r="P1741" s="290" t="s">
        <v>999</v>
      </c>
      <c r="Q1741" s="291" t="s">
        <v>7364</v>
      </c>
      <c r="R1741" s="276"/>
      <c r="S1741" s="277">
        <f>IF(OR(C1741="",C1741=T$4),NA(),MATCH($B1741&amp;$C1741,'Smelter Reference List'!$J:$J,0))</f>
        <v>442</v>
      </c>
      <c r="T1741" s="278"/>
      <c r="U1741" s="278"/>
      <c r="V1741" s="278"/>
      <c r="W1741" s="278"/>
    </row>
    <row r="1742" spans="1:23" s="269" customFormat="1" ht="20.25">
      <c r="A1742" s="267"/>
      <c r="B1742" s="275" t="s">
        <v>2437</v>
      </c>
      <c r="C1742" s="275" t="s">
        <v>3831</v>
      </c>
      <c r="D1742" s="168" t="s">
        <v>7365</v>
      </c>
      <c r="E1742" s="168" t="s">
        <v>2362</v>
      </c>
      <c r="F1742" s="168" t="s">
        <v>4623</v>
      </c>
      <c r="G1742" s="168" t="s">
        <v>4623</v>
      </c>
      <c r="H1742" s="292" t="s">
        <v>7366</v>
      </c>
      <c r="I1742" s="293" t="s">
        <v>7367</v>
      </c>
      <c r="J1742" s="293" t="s">
        <v>7368</v>
      </c>
      <c r="K1742" s="290" t="s">
        <v>4623</v>
      </c>
      <c r="L1742" s="290" t="s">
        <v>4623</v>
      </c>
      <c r="M1742" s="290" t="s">
        <v>4623</v>
      </c>
      <c r="N1742" s="290" t="s">
        <v>4623</v>
      </c>
      <c r="O1742" s="290" t="s">
        <v>4623</v>
      </c>
      <c r="P1742" s="290" t="s">
        <v>999</v>
      </c>
      <c r="Q1742" s="291" t="s">
        <v>4623</v>
      </c>
      <c r="R1742" s="276"/>
      <c r="S1742" s="277">
        <f>IF(OR(C1742="",C1742=T$4),NA(),MATCH($B1742&amp;$C1742,'Smelter Reference List'!$J:$J,0))</f>
        <v>442</v>
      </c>
      <c r="T1742" s="278"/>
      <c r="U1742" s="278"/>
      <c r="V1742" s="278"/>
      <c r="W1742" s="278"/>
    </row>
    <row r="1743" spans="1:23" s="269" customFormat="1" ht="20.25">
      <c r="A1743" s="267"/>
      <c r="B1743" s="275" t="s">
        <v>2437</v>
      </c>
      <c r="C1743" s="275" t="s">
        <v>3831</v>
      </c>
      <c r="D1743" s="168" t="s">
        <v>7369</v>
      </c>
      <c r="E1743" s="168" t="s">
        <v>2362</v>
      </c>
      <c r="F1743" s="168" t="s">
        <v>4623</v>
      </c>
      <c r="G1743" s="168" t="s">
        <v>4623</v>
      </c>
      <c r="H1743" s="292" t="s">
        <v>7370</v>
      </c>
      <c r="I1743" s="293" t="s">
        <v>4623</v>
      </c>
      <c r="J1743" s="293" t="s">
        <v>4623</v>
      </c>
      <c r="K1743" s="290" t="s">
        <v>7371</v>
      </c>
      <c r="L1743" s="290" t="s">
        <v>7372</v>
      </c>
      <c r="M1743" s="290" t="s">
        <v>7373</v>
      </c>
      <c r="N1743" s="290" t="s">
        <v>4628</v>
      </c>
      <c r="O1743" s="290" t="s">
        <v>4628</v>
      </c>
      <c r="P1743" s="290" t="s">
        <v>999</v>
      </c>
      <c r="Q1743" s="291" t="s">
        <v>4623</v>
      </c>
      <c r="R1743" s="276"/>
      <c r="S1743" s="277">
        <f>IF(OR(C1743="",C1743=T$4),NA(),MATCH($B1743&amp;$C1743,'Smelter Reference List'!$J:$J,0))</f>
        <v>442</v>
      </c>
      <c r="T1743" s="278"/>
      <c r="U1743" s="278"/>
      <c r="V1743" s="278"/>
      <c r="W1743" s="278"/>
    </row>
    <row r="1744" spans="1:23" s="269" customFormat="1" ht="20.25">
      <c r="A1744" s="267"/>
      <c r="B1744" s="275" t="s">
        <v>2437</v>
      </c>
      <c r="C1744" s="275" t="s">
        <v>3831</v>
      </c>
      <c r="D1744" s="168" t="s">
        <v>7374</v>
      </c>
      <c r="E1744" s="168" t="s">
        <v>2362</v>
      </c>
      <c r="F1744" s="168" t="s">
        <v>4623</v>
      </c>
      <c r="G1744" s="168" t="s">
        <v>4623</v>
      </c>
      <c r="H1744" s="292" t="s">
        <v>4623</v>
      </c>
      <c r="I1744" s="293" t="s">
        <v>4623</v>
      </c>
      <c r="J1744" s="293" t="s">
        <v>4623</v>
      </c>
      <c r="K1744" s="290" t="s">
        <v>4623</v>
      </c>
      <c r="L1744" s="290" t="s">
        <v>4623</v>
      </c>
      <c r="M1744" s="290" t="s">
        <v>4623</v>
      </c>
      <c r="N1744" s="290" t="s">
        <v>4623</v>
      </c>
      <c r="O1744" s="290" t="s">
        <v>4623</v>
      </c>
      <c r="P1744" s="290" t="s">
        <v>999</v>
      </c>
      <c r="Q1744" s="291" t="s">
        <v>4623</v>
      </c>
      <c r="R1744" s="276"/>
      <c r="S1744" s="277">
        <f>IF(OR(C1744="",C1744=T$4),NA(),MATCH($B1744&amp;$C1744,'Smelter Reference List'!$J:$J,0))</f>
        <v>442</v>
      </c>
      <c r="T1744" s="278"/>
      <c r="U1744" s="278"/>
      <c r="V1744" s="278"/>
      <c r="W1744" s="278"/>
    </row>
    <row r="1745" spans="1:23" s="269" customFormat="1" ht="20.25">
      <c r="A1745" s="267"/>
      <c r="B1745" s="275" t="s">
        <v>2437</v>
      </c>
      <c r="C1745" s="275" t="s">
        <v>3831</v>
      </c>
      <c r="D1745" s="168" t="s">
        <v>7375</v>
      </c>
      <c r="E1745" s="168" t="s">
        <v>2362</v>
      </c>
      <c r="F1745" s="168" t="s">
        <v>4623</v>
      </c>
      <c r="G1745" s="168" t="s">
        <v>4623</v>
      </c>
      <c r="H1745" s="292" t="s">
        <v>4623</v>
      </c>
      <c r="I1745" s="293" t="s">
        <v>4623</v>
      </c>
      <c r="J1745" s="293" t="s">
        <v>4623</v>
      </c>
      <c r="K1745" s="290" t="s">
        <v>4623</v>
      </c>
      <c r="L1745" s="290" t="s">
        <v>4623</v>
      </c>
      <c r="M1745" s="290" t="s">
        <v>4623</v>
      </c>
      <c r="N1745" s="290" t="s">
        <v>4623</v>
      </c>
      <c r="O1745" s="290" t="s">
        <v>4623</v>
      </c>
      <c r="P1745" s="290" t="s">
        <v>999</v>
      </c>
      <c r="Q1745" s="291" t="s">
        <v>4623</v>
      </c>
      <c r="R1745" s="276"/>
      <c r="S1745" s="277">
        <f>IF(OR(C1745="",C1745=T$4),NA(),MATCH($B1745&amp;$C1745,'Smelter Reference List'!$J:$J,0))</f>
        <v>442</v>
      </c>
      <c r="T1745" s="278"/>
      <c r="U1745" s="278"/>
      <c r="V1745" s="278"/>
      <c r="W1745" s="278"/>
    </row>
    <row r="1746" spans="1:23" s="269" customFormat="1" ht="20.25">
      <c r="A1746" s="267"/>
      <c r="B1746" s="275" t="s">
        <v>2437</v>
      </c>
      <c r="C1746" s="275" t="s">
        <v>3831</v>
      </c>
      <c r="D1746" s="168" t="s">
        <v>7376</v>
      </c>
      <c r="E1746" s="168" t="s">
        <v>2362</v>
      </c>
      <c r="F1746" s="168" t="s">
        <v>4623</v>
      </c>
      <c r="G1746" s="168" t="s">
        <v>4623</v>
      </c>
      <c r="H1746" s="292" t="s">
        <v>4623</v>
      </c>
      <c r="I1746" s="293" t="s">
        <v>4623</v>
      </c>
      <c r="J1746" s="293" t="s">
        <v>4623</v>
      </c>
      <c r="K1746" s="290" t="s">
        <v>4623</v>
      </c>
      <c r="L1746" s="290" t="s">
        <v>4623</v>
      </c>
      <c r="M1746" s="290" t="s">
        <v>4623</v>
      </c>
      <c r="N1746" s="290" t="s">
        <v>4623</v>
      </c>
      <c r="O1746" s="290" t="s">
        <v>4623</v>
      </c>
      <c r="P1746" s="290" t="s">
        <v>999</v>
      </c>
      <c r="Q1746" s="291" t="s">
        <v>4623</v>
      </c>
      <c r="R1746" s="276"/>
      <c r="S1746" s="277">
        <f>IF(OR(C1746="",C1746=T$4),NA(),MATCH($B1746&amp;$C1746,'Smelter Reference List'!$J:$J,0))</f>
        <v>442</v>
      </c>
      <c r="T1746" s="278"/>
      <c r="U1746" s="278"/>
      <c r="V1746" s="278"/>
      <c r="W1746" s="278"/>
    </row>
    <row r="1747" spans="1:23" s="269" customFormat="1" ht="20.25">
      <c r="A1747" s="267"/>
      <c r="B1747" s="275" t="s">
        <v>2437</v>
      </c>
      <c r="C1747" s="275" t="s">
        <v>3831</v>
      </c>
      <c r="D1747" s="168" t="s">
        <v>7377</v>
      </c>
      <c r="E1747" s="168" t="s">
        <v>2362</v>
      </c>
      <c r="F1747" s="168" t="s">
        <v>4623</v>
      </c>
      <c r="G1747" s="168" t="s">
        <v>4623</v>
      </c>
      <c r="H1747" s="292" t="s">
        <v>4623</v>
      </c>
      <c r="I1747" s="293" t="s">
        <v>4623</v>
      </c>
      <c r="J1747" s="293" t="s">
        <v>4623</v>
      </c>
      <c r="K1747" s="290" t="s">
        <v>4623</v>
      </c>
      <c r="L1747" s="290" t="s">
        <v>4623</v>
      </c>
      <c r="M1747" s="290" t="s">
        <v>4623</v>
      </c>
      <c r="N1747" s="290" t="s">
        <v>4623</v>
      </c>
      <c r="O1747" s="290" t="s">
        <v>4623</v>
      </c>
      <c r="P1747" s="290" t="s">
        <v>999</v>
      </c>
      <c r="Q1747" s="291" t="s">
        <v>4623</v>
      </c>
      <c r="R1747" s="276"/>
      <c r="S1747" s="277">
        <f>IF(OR(C1747="",C1747=T$4),NA(),MATCH($B1747&amp;$C1747,'Smelter Reference List'!$J:$J,0))</f>
        <v>442</v>
      </c>
      <c r="T1747" s="278"/>
      <c r="U1747" s="278"/>
      <c r="V1747" s="278"/>
      <c r="W1747" s="278"/>
    </row>
    <row r="1748" spans="1:23" s="269" customFormat="1" ht="20.25">
      <c r="A1748" s="267"/>
      <c r="B1748" s="275" t="s">
        <v>2437</v>
      </c>
      <c r="C1748" s="275" t="s">
        <v>3831</v>
      </c>
      <c r="D1748" s="168" t="s">
        <v>7378</v>
      </c>
      <c r="E1748" s="168" t="s">
        <v>2362</v>
      </c>
      <c r="F1748" s="168" t="s">
        <v>4623</v>
      </c>
      <c r="G1748" s="168" t="s">
        <v>4623</v>
      </c>
      <c r="H1748" s="292" t="s">
        <v>4623</v>
      </c>
      <c r="I1748" s="293" t="s">
        <v>4623</v>
      </c>
      <c r="J1748" s="293" t="s">
        <v>4623</v>
      </c>
      <c r="K1748" s="290" t="s">
        <v>4623</v>
      </c>
      <c r="L1748" s="290" t="s">
        <v>4623</v>
      </c>
      <c r="M1748" s="290" t="s">
        <v>4623</v>
      </c>
      <c r="N1748" s="290" t="s">
        <v>4623</v>
      </c>
      <c r="O1748" s="290" t="s">
        <v>4623</v>
      </c>
      <c r="P1748" s="290" t="s">
        <v>999</v>
      </c>
      <c r="Q1748" s="291" t="s">
        <v>4623</v>
      </c>
      <c r="R1748" s="276"/>
      <c r="S1748" s="277">
        <f>IF(OR(C1748="",C1748=T$4),NA(),MATCH($B1748&amp;$C1748,'Smelter Reference List'!$J:$J,0))</f>
        <v>442</v>
      </c>
      <c r="T1748" s="278"/>
      <c r="U1748" s="278"/>
      <c r="V1748" s="278"/>
      <c r="W1748" s="278"/>
    </row>
    <row r="1749" spans="1:23" s="269" customFormat="1" ht="20.25">
      <c r="A1749" s="267"/>
      <c r="B1749" s="275" t="s">
        <v>2437</v>
      </c>
      <c r="C1749" s="275" t="s">
        <v>3831</v>
      </c>
      <c r="D1749" s="168" t="s">
        <v>7379</v>
      </c>
      <c r="E1749" s="168" t="s">
        <v>2362</v>
      </c>
      <c r="F1749" s="168" t="s">
        <v>4623</v>
      </c>
      <c r="G1749" s="168" t="s">
        <v>4623</v>
      </c>
      <c r="H1749" s="292" t="s">
        <v>4623</v>
      </c>
      <c r="I1749" s="293" t="s">
        <v>4623</v>
      </c>
      <c r="J1749" s="293" t="s">
        <v>4623</v>
      </c>
      <c r="K1749" s="290" t="s">
        <v>4623</v>
      </c>
      <c r="L1749" s="290" t="s">
        <v>4623</v>
      </c>
      <c r="M1749" s="290" t="s">
        <v>4623</v>
      </c>
      <c r="N1749" s="290" t="s">
        <v>4623</v>
      </c>
      <c r="O1749" s="290" t="s">
        <v>4623</v>
      </c>
      <c r="P1749" s="290" t="s">
        <v>999</v>
      </c>
      <c r="Q1749" s="291" t="s">
        <v>4623</v>
      </c>
      <c r="R1749" s="276"/>
      <c r="S1749" s="277">
        <f>IF(OR(C1749="",C1749=T$4),NA(),MATCH($B1749&amp;$C1749,'Smelter Reference List'!$J:$J,0))</f>
        <v>442</v>
      </c>
      <c r="T1749" s="278"/>
      <c r="U1749" s="278"/>
      <c r="V1749" s="278"/>
      <c r="W1749" s="278"/>
    </row>
    <row r="1750" spans="1:23" s="269" customFormat="1" ht="20.25">
      <c r="A1750" s="267"/>
      <c r="B1750" s="275" t="s">
        <v>2437</v>
      </c>
      <c r="C1750" s="275" t="s">
        <v>3831</v>
      </c>
      <c r="D1750" s="168" t="s">
        <v>7380</v>
      </c>
      <c r="E1750" s="168" t="s">
        <v>2362</v>
      </c>
      <c r="F1750" s="168" t="s">
        <v>4623</v>
      </c>
      <c r="G1750" s="168" t="s">
        <v>4623</v>
      </c>
      <c r="H1750" s="292" t="s">
        <v>4623</v>
      </c>
      <c r="I1750" s="293" t="s">
        <v>4623</v>
      </c>
      <c r="J1750" s="293" t="s">
        <v>4623</v>
      </c>
      <c r="K1750" s="290" t="s">
        <v>4623</v>
      </c>
      <c r="L1750" s="290" t="s">
        <v>4623</v>
      </c>
      <c r="M1750" s="290" t="s">
        <v>4623</v>
      </c>
      <c r="N1750" s="290" t="s">
        <v>4623</v>
      </c>
      <c r="O1750" s="290" t="s">
        <v>4623</v>
      </c>
      <c r="P1750" s="290" t="s">
        <v>999</v>
      </c>
      <c r="Q1750" s="291" t="s">
        <v>4623</v>
      </c>
      <c r="R1750" s="276"/>
      <c r="S1750" s="277">
        <f>IF(OR(C1750="",C1750=T$4),NA(),MATCH($B1750&amp;$C1750,'Smelter Reference List'!$J:$J,0))</f>
        <v>442</v>
      </c>
      <c r="T1750" s="278"/>
      <c r="U1750" s="278"/>
      <c r="V1750" s="278"/>
      <c r="W1750" s="278"/>
    </row>
    <row r="1751" spans="1:23" s="269" customFormat="1" ht="20.25">
      <c r="A1751" s="267"/>
      <c r="B1751" s="275" t="s">
        <v>2437</v>
      </c>
      <c r="C1751" s="275" t="s">
        <v>3831</v>
      </c>
      <c r="D1751" s="168" t="s">
        <v>7381</v>
      </c>
      <c r="E1751" s="168" t="s">
        <v>2362</v>
      </c>
      <c r="F1751" s="168" t="s">
        <v>4623</v>
      </c>
      <c r="G1751" s="168" t="s">
        <v>4623</v>
      </c>
      <c r="H1751" s="292" t="s">
        <v>7382</v>
      </c>
      <c r="I1751" s="293" t="s">
        <v>3328</v>
      </c>
      <c r="J1751" s="293" t="s">
        <v>4623</v>
      </c>
      <c r="K1751" s="290" t="s">
        <v>4623</v>
      </c>
      <c r="L1751" s="290" t="s">
        <v>7383</v>
      </c>
      <c r="M1751" s="290" t="s">
        <v>4623</v>
      </c>
      <c r="N1751" s="290" t="s">
        <v>4769</v>
      </c>
      <c r="O1751" s="290" t="s">
        <v>4623</v>
      </c>
      <c r="P1751" s="290" t="s">
        <v>999</v>
      </c>
      <c r="Q1751" s="291" t="s">
        <v>4623</v>
      </c>
      <c r="R1751" s="276"/>
      <c r="S1751" s="277">
        <f>IF(OR(C1751="",C1751=T$4),NA(),MATCH($B1751&amp;$C1751,'Smelter Reference List'!$J:$J,0))</f>
        <v>442</v>
      </c>
      <c r="T1751" s="278"/>
      <c r="U1751" s="278"/>
      <c r="V1751" s="278"/>
      <c r="W1751" s="278"/>
    </row>
    <row r="1752" spans="1:23" s="269" customFormat="1" ht="20.25">
      <c r="A1752" s="267"/>
      <c r="B1752" s="275" t="s">
        <v>2437</v>
      </c>
      <c r="C1752" s="275" t="s">
        <v>3831</v>
      </c>
      <c r="D1752" s="168" t="s">
        <v>7384</v>
      </c>
      <c r="E1752" s="168" t="s">
        <v>2362</v>
      </c>
      <c r="F1752" s="168" t="s">
        <v>4623</v>
      </c>
      <c r="G1752" s="168" t="s">
        <v>4623</v>
      </c>
      <c r="H1752" s="292" t="s">
        <v>7385</v>
      </c>
      <c r="I1752" s="293" t="s">
        <v>7386</v>
      </c>
      <c r="J1752" s="293" t="s">
        <v>7387</v>
      </c>
      <c r="K1752" s="290" t="s">
        <v>7388</v>
      </c>
      <c r="L1752" s="290" t="s">
        <v>7389</v>
      </c>
      <c r="M1752" s="290" t="s">
        <v>4623</v>
      </c>
      <c r="N1752" s="290" t="s">
        <v>4623</v>
      </c>
      <c r="O1752" s="290" t="s">
        <v>4623</v>
      </c>
      <c r="P1752" s="290" t="s">
        <v>999</v>
      </c>
      <c r="Q1752" s="291" t="s">
        <v>4623</v>
      </c>
      <c r="R1752" s="276"/>
      <c r="S1752" s="277">
        <f>IF(OR(C1752="",C1752=T$4),NA(),MATCH($B1752&amp;$C1752,'Smelter Reference List'!$J:$J,0))</f>
        <v>442</v>
      </c>
      <c r="T1752" s="278"/>
      <c r="U1752" s="278"/>
      <c r="V1752" s="278"/>
      <c r="W1752" s="278"/>
    </row>
    <row r="1753" spans="1:23" s="269" customFormat="1" ht="20.25">
      <c r="A1753" s="267"/>
      <c r="B1753" s="275" t="s">
        <v>2437</v>
      </c>
      <c r="C1753" s="275" t="s">
        <v>3831</v>
      </c>
      <c r="D1753" s="168" t="s">
        <v>7390</v>
      </c>
      <c r="E1753" s="168" t="s">
        <v>2362</v>
      </c>
      <c r="F1753" s="168" t="s">
        <v>4623</v>
      </c>
      <c r="G1753" s="168" t="s">
        <v>4623</v>
      </c>
      <c r="H1753" s="292" t="s">
        <v>4623</v>
      </c>
      <c r="I1753" s="293" t="s">
        <v>4623</v>
      </c>
      <c r="J1753" s="293" t="s">
        <v>4623</v>
      </c>
      <c r="K1753" s="290" t="s">
        <v>4623</v>
      </c>
      <c r="L1753" s="290" t="s">
        <v>4623</v>
      </c>
      <c r="M1753" s="290" t="s">
        <v>4623</v>
      </c>
      <c r="N1753" s="290" t="s">
        <v>4623</v>
      </c>
      <c r="O1753" s="290" t="s">
        <v>4623</v>
      </c>
      <c r="P1753" s="290" t="s">
        <v>999</v>
      </c>
      <c r="Q1753" s="291" t="s">
        <v>4623</v>
      </c>
      <c r="R1753" s="276"/>
      <c r="S1753" s="277">
        <f>IF(OR(C1753="",C1753=T$4),NA(),MATCH($B1753&amp;$C1753,'Smelter Reference List'!$J:$J,0))</f>
        <v>442</v>
      </c>
      <c r="T1753" s="278"/>
      <c r="U1753" s="278"/>
      <c r="V1753" s="278"/>
      <c r="W1753" s="278"/>
    </row>
    <row r="1754" spans="1:23" s="269" customFormat="1" ht="20.25">
      <c r="A1754" s="267"/>
      <c r="B1754" s="275" t="s">
        <v>2437</v>
      </c>
      <c r="C1754" s="275" t="s">
        <v>3831</v>
      </c>
      <c r="D1754" s="168" t="s">
        <v>7130</v>
      </c>
      <c r="E1754" s="168" t="s">
        <v>2362</v>
      </c>
      <c r="F1754" s="168" t="s">
        <v>4623</v>
      </c>
      <c r="G1754" s="168" t="s">
        <v>4623</v>
      </c>
      <c r="H1754" s="292" t="s">
        <v>4623</v>
      </c>
      <c r="I1754" s="293" t="s">
        <v>4623</v>
      </c>
      <c r="J1754" s="293" t="s">
        <v>4623</v>
      </c>
      <c r="K1754" s="290" t="s">
        <v>4623</v>
      </c>
      <c r="L1754" s="290" t="s">
        <v>4623</v>
      </c>
      <c r="M1754" s="290" t="s">
        <v>6377</v>
      </c>
      <c r="N1754" s="290" t="s">
        <v>5000</v>
      </c>
      <c r="O1754" s="290" t="s">
        <v>5000</v>
      </c>
      <c r="P1754" s="290" t="s">
        <v>999</v>
      </c>
      <c r="Q1754" s="291" t="s">
        <v>4623</v>
      </c>
      <c r="R1754" s="276"/>
      <c r="S1754" s="277">
        <f>IF(OR(C1754="",C1754=T$4),NA(),MATCH($B1754&amp;$C1754,'Smelter Reference List'!$J:$J,0))</f>
        <v>442</v>
      </c>
      <c r="T1754" s="278"/>
      <c r="U1754" s="278"/>
      <c r="V1754" s="278"/>
      <c r="W1754" s="278"/>
    </row>
    <row r="1755" spans="1:23" s="269" customFormat="1" ht="20.25">
      <c r="A1755" s="267"/>
      <c r="B1755" s="275" t="s">
        <v>2437</v>
      </c>
      <c r="C1755" s="275" t="s">
        <v>3831</v>
      </c>
      <c r="D1755" s="168" t="s">
        <v>7391</v>
      </c>
      <c r="E1755" s="168" t="s">
        <v>2362</v>
      </c>
      <c r="F1755" s="168" t="s">
        <v>4623</v>
      </c>
      <c r="G1755" s="168" t="s">
        <v>4623</v>
      </c>
      <c r="H1755" s="292" t="s">
        <v>7392</v>
      </c>
      <c r="I1755" s="293" t="s">
        <v>4623</v>
      </c>
      <c r="J1755" s="293" t="s">
        <v>4623</v>
      </c>
      <c r="K1755" s="290" t="s">
        <v>7393</v>
      </c>
      <c r="L1755" s="290" t="s">
        <v>7394</v>
      </c>
      <c r="M1755" s="290" t="s">
        <v>4623</v>
      </c>
      <c r="N1755" s="290" t="s">
        <v>7395</v>
      </c>
      <c r="O1755" s="290" t="s">
        <v>4623</v>
      </c>
      <c r="P1755" s="290" t="s">
        <v>999</v>
      </c>
      <c r="Q1755" s="291" t="s">
        <v>4623</v>
      </c>
      <c r="R1755" s="276"/>
      <c r="S1755" s="277">
        <f>IF(OR(C1755="",C1755=T$4),NA(),MATCH($B1755&amp;$C1755,'Smelter Reference List'!$J:$J,0))</f>
        <v>442</v>
      </c>
      <c r="T1755" s="278"/>
      <c r="U1755" s="278"/>
      <c r="V1755" s="278"/>
      <c r="W1755" s="278"/>
    </row>
    <row r="1756" spans="1:23" s="269" customFormat="1" ht="20.25">
      <c r="A1756" s="267"/>
      <c r="B1756" s="275" t="s">
        <v>2437</v>
      </c>
      <c r="C1756" s="275" t="s">
        <v>3831</v>
      </c>
      <c r="D1756" s="168" t="s">
        <v>7396</v>
      </c>
      <c r="E1756" s="168" t="s">
        <v>2362</v>
      </c>
      <c r="F1756" s="168" t="s">
        <v>4623</v>
      </c>
      <c r="G1756" s="168" t="s">
        <v>4623</v>
      </c>
      <c r="H1756" s="292" t="s">
        <v>4623</v>
      </c>
      <c r="I1756" s="293" t="s">
        <v>4623</v>
      </c>
      <c r="J1756" s="293" t="s">
        <v>4623</v>
      </c>
      <c r="K1756" s="290" t="s">
        <v>4623</v>
      </c>
      <c r="L1756" s="290" t="s">
        <v>4623</v>
      </c>
      <c r="M1756" s="290" t="s">
        <v>4623</v>
      </c>
      <c r="N1756" s="290" t="s">
        <v>4623</v>
      </c>
      <c r="O1756" s="290" t="s">
        <v>4623</v>
      </c>
      <c r="P1756" s="290" t="s">
        <v>999</v>
      </c>
      <c r="Q1756" s="291" t="s">
        <v>4623</v>
      </c>
      <c r="R1756" s="276"/>
      <c r="S1756" s="277">
        <f>IF(OR(C1756="",C1756=T$4),NA(),MATCH($B1756&amp;$C1756,'Smelter Reference List'!$J:$J,0))</f>
        <v>442</v>
      </c>
      <c r="T1756" s="278"/>
      <c r="U1756" s="278"/>
      <c r="V1756" s="278"/>
      <c r="W1756" s="278"/>
    </row>
    <row r="1757" spans="1:23" s="269" customFormat="1" ht="20.25">
      <c r="A1757" s="267"/>
      <c r="B1757" s="275" t="s">
        <v>2437</v>
      </c>
      <c r="C1757" s="275" t="s">
        <v>3831</v>
      </c>
      <c r="D1757" s="168" t="s">
        <v>7397</v>
      </c>
      <c r="E1757" s="168" t="s">
        <v>2362</v>
      </c>
      <c r="F1757" s="168" t="s">
        <v>4623</v>
      </c>
      <c r="G1757" s="168" t="s">
        <v>4623</v>
      </c>
      <c r="H1757" s="292" t="s">
        <v>4623</v>
      </c>
      <c r="I1757" s="293" t="s">
        <v>4623</v>
      </c>
      <c r="J1757" s="293" t="s">
        <v>4623</v>
      </c>
      <c r="K1757" s="290" t="s">
        <v>4623</v>
      </c>
      <c r="L1757" s="290" t="s">
        <v>4623</v>
      </c>
      <c r="M1757" s="290" t="s">
        <v>4623</v>
      </c>
      <c r="N1757" s="290" t="s">
        <v>4623</v>
      </c>
      <c r="O1757" s="290" t="s">
        <v>4623</v>
      </c>
      <c r="P1757" s="290" t="s">
        <v>999</v>
      </c>
      <c r="Q1757" s="291" t="s">
        <v>4623</v>
      </c>
      <c r="R1757" s="276"/>
      <c r="S1757" s="277">
        <f>IF(OR(C1757="",C1757=T$4),NA(),MATCH($B1757&amp;$C1757,'Smelter Reference List'!$J:$J,0))</f>
        <v>442</v>
      </c>
      <c r="T1757" s="278"/>
      <c r="U1757" s="278"/>
      <c r="V1757" s="278"/>
      <c r="W1757" s="278"/>
    </row>
    <row r="1758" spans="1:23" s="269" customFormat="1" ht="20.25">
      <c r="A1758" s="267"/>
      <c r="B1758" s="275" t="s">
        <v>2437</v>
      </c>
      <c r="C1758" s="275" t="s">
        <v>3831</v>
      </c>
      <c r="D1758" s="168" t="s">
        <v>6457</v>
      </c>
      <c r="E1758" s="168" t="s">
        <v>2362</v>
      </c>
      <c r="F1758" s="168" t="s">
        <v>4623</v>
      </c>
      <c r="G1758" s="168" t="s">
        <v>4623</v>
      </c>
      <c r="H1758" s="292" t="s">
        <v>4623</v>
      </c>
      <c r="I1758" s="293" t="s">
        <v>4623</v>
      </c>
      <c r="J1758" s="293" t="s">
        <v>4623</v>
      </c>
      <c r="K1758" s="290" t="s">
        <v>4623</v>
      </c>
      <c r="L1758" s="290" t="s">
        <v>4623</v>
      </c>
      <c r="M1758" s="290" t="s">
        <v>4623</v>
      </c>
      <c r="N1758" s="290" t="s">
        <v>4623</v>
      </c>
      <c r="O1758" s="290" t="s">
        <v>4623</v>
      </c>
      <c r="P1758" s="290" t="s">
        <v>999</v>
      </c>
      <c r="Q1758" s="291" t="s">
        <v>4623</v>
      </c>
      <c r="R1758" s="276"/>
      <c r="S1758" s="277">
        <f>IF(OR(C1758="",C1758=T$4),NA(),MATCH($B1758&amp;$C1758,'Smelter Reference List'!$J:$J,0))</f>
        <v>442</v>
      </c>
      <c r="T1758" s="278"/>
      <c r="U1758" s="278"/>
      <c r="V1758" s="278"/>
      <c r="W1758" s="278"/>
    </row>
    <row r="1759" spans="1:23" s="269" customFormat="1" ht="20.25">
      <c r="A1759" s="267"/>
      <c r="B1759" s="275" t="s">
        <v>2437</v>
      </c>
      <c r="C1759" s="275" t="s">
        <v>3831</v>
      </c>
      <c r="D1759" s="168" t="s">
        <v>7398</v>
      </c>
      <c r="E1759" s="168" t="s">
        <v>2362</v>
      </c>
      <c r="F1759" s="168" t="s">
        <v>4623</v>
      </c>
      <c r="G1759" s="168" t="s">
        <v>4623</v>
      </c>
      <c r="H1759" s="292" t="s">
        <v>4623</v>
      </c>
      <c r="I1759" s="293" t="s">
        <v>4623</v>
      </c>
      <c r="J1759" s="293" t="s">
        <v>4623</v>
      </c>
      <c r="K1759" s="290" t="s">
        <v>4623</v>
      </c>
      <c r="L1759" s="290" t="s">
        <v>4623</v>
      </c>
      <c r="M1759" s="290" t="s">
        <v>4623</v>
      </c>
      <c r="N1759" s="290" t="s">
        <v>4623</v>
      </c>
      <c r="O1759" s="290" t="s">
        <v>4623</v>
      </c>
      <c r="P1759" s="290" t="s">
        <v>999</v>
      </c>
      <c r="Q1759" s="291" t="s">
        <v>4623</v>
      </c>
      <c r="R1759" s="276"/>
      <c r="S1759" s="277">
        <f>IF(OR(C1759="",C1759=T$4),NA(),MATCH($B1759&amp;$C1759,'Smelter Reference List'!$J:$J,0))</f>
        <v>442</v>
      </c>
      <c r="T1759" s="278"/>
      <c r="U1759" s="278"/>
      <c r="V1759" s="278"/>
      <c r="W1759" s="278"/>
    </row>
    <row r="1760" spans="1:23" s="269" customFormat="1" ht="20.25">
      <c r="A1760" s="267"/>
      <c r="B1760" s="275" t="s">
        <v>2437</v>
      </c>
      <c r="C1760" s="275" t="s">
        <v>3831</v>
      </c>
      <c r="D1760" s="168" t="s">
        <v>7399</v>
      </c>
      <c r="E1760" s="168" t="s">
        <v>2362</v>
      </c>
      <c r="F1760" s="168" t="s">
        <v>4623</v>
      </c>
      <c r="G1760" s="168" t="s">
        <v>4623</v>
      </c>
      <c r="H1760" s="292" t="s">
        <v>4623</v>
      </c>
      <c r="I1760" s="293" t="s">
        <v>4623</v>
      </c>
      <c r="J1760" s="293" t="s">
        <v>4623</v>
      </c>
      <c r="K1760" s="290" t="s">
        <v>4623</v>
      </c>
      <c r="L1760" s="290" t="s">
        <v>4623</v>
      </c>
      <c r="M1760" s="290" t="s">
        <v>4623</v>
      </c>
      <c r="N1760" s="290" t="s">
        <v>4671</v>
      </c>
      <c r="O1760" s="290" t="s">
        <v>4623</v>
      </c>
      <c r="P1760" s="290" t="s">
        <v>999</v>
      </c>
      <c r="Q1760" s="291" t="s">
        <v>4623</v>
      </c>
      <c r="R1760" s="276"/>
      <c r="S1760" s="277">
        <f>IF(OR(C1760="",C1760=T$4),NA(),MATCH($B1760&amp;$C1760,'Smelter Reference List'!$J:$J,0))</f>
        <v>442</v>
      </c>
      <c r="T1760" s="278"/>
      <c r="U1760" s="278"/>
      <c r="V1760" s="278"/>
      <c r="W1760" s="278"/>
    </row>
    <row r="1761" spans="1:23" s="269" customFormat="1" ht="20.25">
      <c r="A1761" s="267"/>
      <c r="B1761" s="275" t="s">
        <v>2437</v>
      </c>
      <c r="C1761" s="275" t="s">
        <v>3831</v>
      </c>
      <c r="D1761" s="168" t="s">
        <v>7400</v>
      </c>
      <c r="E1761" s="168" t="s">
        <v>2362</v>
      </c>
      <c r="F1761" s="168" t="s">
        <v>4623</v>
      </c>
      <c r="G1761" s="168" t="s">
        <v>4623</v>
      </c>
      <c r="H1761" s="292" t="s">
        <v>4623</v>
      </c>
      <c r="I1761" s="293" t="s">
        <v>4623</v>
      </c>
      <c r="J1761" s="293" t="s">
        <v>4623</v>
      </c>
      <c r="K1761" s="290" t="s">
        <v>4623</v>
      </c>
      <c r="L1761" s="290" t="s">
        <v>4623</v>
      </c>
      <c r="M1761" s="290" t="s">
        <v>4623</v>
      </c>
      <c r="N1761" s="290" t="s">
        <v>7401</v>
      </c>
      <c r="O1761" s="290" t="s">
        <v>4623</v>
      </c>
      <c r="P1761" s="290" t="s">
        <v>999</v>
      </c>
      <c r="Q1761" s="291" t="s">
        <v>4623</v>
      </c>
      <c r="R1761" s="276"/>
      <c r="S1761" s="277">
        <f>IF(OR(C1761="",C1761=T$4),NA(),MATCH($B1761&amp;$C1761,'Smelter Reference List'!$J:$J,0))</f>
        <v>442</v>
      </c>
      <c r="T1761" s="278"/>
      <c r="U1761" s="278"/>
      <c r="V1761" s="278"/>
      <c r="W1761" s="278"/>
    </row>
    <row r="1762" spans="1:23" s="269" customFormat="1" ht="20.25">
      <c r="A1762" s="267"/>
      <c r="B1762" s="275" t="s">
        <v>2437</v>
      </c>
      <c r="C1762" s="275" t="s">
        <v>3831</v>
      </c>
      <c r="D1762" s="168" t="s">
        <v>7402</v>
      </c>
      <c r="E1762" s="168" t="s">
        <v>2362</v>
      </c>
      <c r="F1762" s="168" t="s">
        <v>4623</v>
      </c>
      <c r="G1762" s="168" t="s">
        <v>4623</v>
      </c>
      <c r="H1762" s="292" t="s">
        <v>4623</v>
      </c>
      <c r="I1762" s="293" t="s">
        <v>4623</v>
      </c>
      <c r="J1762" s="293" t="s">
        <v>4623</v>
      </c>
      <c r="K1762" s="290" t="s">
        <v>4623</v>
      </c>
      <c r="L1762" s="290" t="s">
        <v>4623</v>
      </c>
      <c r="M1762" s="290" t="s">
        <v>4623</v>
      </c>
      <c r="N1762" s="290" t="s">
        <v>4623</v>
      </c>
      <c r="O1762" s="290" t="s">
        <v>4623</v>
      </c>
      <c r="P1762" s="290" t="s">
        <v>999</v>
      </c>
      <c r="Q1762" s="291" t="s">
        <v>4623</v>
      </c>
      <c r="R1762" s="276"/>
      <c r="S1762" s="277">
        <f>IF(OR(C1762="",C1762=T$4),NA(),MATCH($B1762&amp;$C1762,'Smelter Reference List'!$J:$J,0))</f>
        <v>442</v>
      </c>
      <c r="T1762" s="278"/>
      <c r="U1762" s="278"/>
      <c r="V1762" s="278"/>
      <c r="W1762" s="278"/>
    </row>
    <row r="1763" spans="1:23" s="269" customFormat="1" ht="20.25">
      <c r="A1763" s="267"/>
      <c r="B1763" s="275" t="s">
        <v>2437</v>
      </c>
      <c r="C1763" s="275" t="s">
        <v>3831</v>
      </c>
      <c r="D1763" s="168" t="s">
        <v>7403</v>
      </c>
      <c r="E1763" s="168" t="s">
        <v>2362</v>
      </c>
      <c r="F1763" s="168" t="s">
        <v>4623</v>
      </c>
      <c r="G1763" s="168" t="s">
        <v>4623</v>
      </c>
      <c r="H1763" s="292" t="s">
        <v>4623</v>
      </c>
      <c r="I1763" s="293" t="s">
        <v>4623</v>
      </c>
      <c r="J1763" s="293" t="s">
        <v>4623</v>
      </c>
      <c r="K1763" s="290" t="s">
        <v>4623</v>
      </c>
      <c r="L1763" s="290" t="s">
        <v>4623</v>
      </c>
      <c r="M1763" s="290" t="s">
        <v>4623</v>
      </c>
      <c r="N1763" s="290" t="s">
        <v>4623</v>
      </c>
      <c r="O1763" s="290" t="s">
        <v>4623</v>
      </c>
      <c r="P1763" s="290" t="s">
        <v>999</v>
      </c>
      <c r="Q1763" s="291" t="s">
        <v>4623</v>
      </c>
      <c r="R1763" s="276"/>
      <c r="S1763" s="277">
        <f>IF(OR(C1763="",C1763=T$4),NA(),MATCH($B1763&amp;$C1763,'Smelter Reference List'!$J:$J,0))</f>
        <v>442</v>
      </c>
      <c r="T1763" s="278"/>
      <c r="U1763" s="278"/>
      <c r="V1763" s="278"/>
      <c r="W1763" s="278"/>
    </row>
    <row r="1764" spans="1:23" s="269" customFormat="1" ht="20.25">
      <c r="A1764" s="267"/>
      <c r="B1764" s="275" t="s">
        <v>2437</v>
      </c>
      <c r="C1764" s="275" t="s">
        <v>3831</v>
      </c>
      <c r="D1764" s="168" t="s">
        <v>6171</v>
      </c>
      <c r="E1764" s="168" t="s">
        <v>2362</v>
      </c>
      <c r="F1764" s="168" t="s">
        <v>4623</v>
      </c>
      <c r="G1764" s="168" t="s">
        <v>4623</v>
      </c>
      <c r="H1764" s="292" t="s">
        <v>4623</v>
      </c>
      <c r="I1764" s="293" t="s">
        <v>4623</v>
      </c>
      <c r="J1764" s="293" t="s">
        <v>4623</v>
      </c>
      <c r="K1764" s="290" t="s">
        <v>4623</v>
      </c>
      <c r="L1764" s="290" t="s">
        <v>4623</v>
      </c>
      <c r="M1764" s="290" t="s">
        <v>4623</v>
      </c>
      <c r="N1764" s="290" t="s">
        <v>4623</v>
      </c>
      <c r="O1764" s="290" t="s">
        <v>4623</v>
      </c>
      <c r="P1764" s="290" t="s">
        <v>999</v>
      </c>
      <c r="Q1764" s="291" t="s">
        <v>4623</v>
      </c>
      <c r="R1764" s="276"/>
      <c r="S1764" s="277">
        <f>IF(OR(C1764="",C1764=T$4),NA(),MATCH($B1764&amp;$C1764,'Smelter Reference List'!$J:$J,0))</f>
        <v>442</v>
      </c>
      <c r="T1764" s="278"/>
      <c r="U1764" s="278"/>
      <c r="V1764" s="278"/>
      <c r="W1764" s="278"/>
    </row>
    <row r="1765" spans="1:23" s="269" customFormat="1" ht="20.25">
      <c r="A1765" s="267"/>
      <c r="B1765" s="275" t="s">
        <v>2437</v>
      </c>
      <c r="C1765" s="275" t="s">
        <v>3831</v>
      </c>
      <c r="D1765" s="168" t="s">
        <v>7404</v>
      </c>
      <c r="E1765" s="168" t="s">
        <v>2362</v>
      </c>
      <c r="F1765" s="168" t="s">
        <v>4623</v>
      </c>
      <c r="G1765" s="168" t="s">
        <v>4623</v>
      </c>
      <c r="H1765" s="292" t="s">
        <v>4623</v>
      </c>
      <c r="I1765" s="293" t="s">
        <v>4623</v>
      </c>
      <c r="J1765" s="293" t="s">
        <v>4623</v>
      </c>
      <c r="K1765" s="290" t="s">
        <v>4623</v>
      </c>
      <c r="L1765" s="290" t="s">
        <v>4623</v>
      </c>
      <c r="M1765" s="290" t="s">
        <v>4623</v>
      </c>
      <c r="N1765" s="290" t="s">
        <v>4623</v>
      </c>
      <c r="O1765" s="290" t="s">
        <v>4623</v>
      </c>
      <c r="P1765" s="290" t="s">
        <v>999</v>
      </c>
      <c r="Q1765" s="291" t="s">
        <v>4623</v>
      </c>
      <c r="R1765" s="276"/>
      <c r="S1765" s="277">
        <f>IF(OR(C1765="",C1765=T$4),NA(),MATCH($B1765&amp;$C1765,'Smelter Reference List'!$J:$J,0))</f>
        <v>442</v>
      </c>
      <c r="T1765" s="278"/>
      <c r="U1765" s="278"/>
      <c r="V1765" s="278"/>
      <c r="W1765" s="278"/>
    </row>
    <row r="1766" spans="1:23" s="269" customFormat="1" ht="20.25">
      <c r="A1766" s="267"/>
      <c r="B1766" s="275" t="s">
        <v>2437</v>
      </c>
      <c r="C1766" s="275" t="s">
        <v>3831</v>
      </c>
      <c r="D1766" s="168" t="s">
        <v>7405</v>
      </c>
      <c r="E1766" s="168" t="s">
        <v>2362</v>
      </c>
      <c r="F1766" s="168" t="s">
        <v>4623</v>
      </c>
      <c r="G1766" s="168" t="s">
        <v>4623</v>
      </c>
      <c r="H1766" s="292" t="s">
        <v>7406</v>
      </c>
      <c r="I1766" s="293" t="s">
        <v>6863</v>
      </c>
      <c r="J1766" s="293" t="s">
        <v>3328</v>
      </c>
      <c r="K1766" s="290" t="s">
        <v>4623</v>
      </c>
      <c r="L1766" s="290" t="s">
        <v>7407</v>
      </c>
      <c r="M1766" s="290" t="s">
        <v>4623</v>
      </c>
      <c r="N1766" s="290" t="s">
        <v>4623</v>
      </c>
      <c r="O1766" s="290" t="s">
        <v>4623</v>
      </c>
      <c r="P1766" s="290" t="s">
        <v>999</v>
      </c>
      <c r="Q1766" s="291" t="s">
        <v>4623</v>
      </c>
      <c r="R1766" s="276"/>
      <c r="S1766" s="277">
        <f>IF(OR(C1766="",C1766=T$4),NA(),MATCH($B1766&amp;$C1766,'Smelter Reference List'!$J:$J,0))</f>
        <v>442</v>
      </c>
      <c r="T1766" s="278"/>
      <c r="U1766" s="278"/>
      <c r="V1766" s="278"/>
      <c r="W1766" s="278"/>
    </row>
    <row r="1767" spans="1:23" s="269" customFormat="1" ht="20.25">
      <c r="A1767" s="267"/>
      <c r="B1767" s="275" t="s">
        <v>2437</v>
      </c>
      <c r="C1767" s="275" t="s">
        <v>3831</v>
      </c>
      <c r="D1767" s="168" t="s">
        <v>7408</v>
      </c>
      <c r="E1767" s="168" t="s">
        <v>2362</v>
      </c>
      <c r="F1767" s="168" t="s">
        <v>4623</v>
      </c>
      <c r="G1767" s="168" t="s">
        <v>4623</v>
      </c>
      <c r="H1767" s="292" t="s">
        <v>7409</v>
      </c>
      <c r="I1767" s="293" t="s">
        <v>7410</v>
      </c>
      <c r="J1767" s="293" t="s">
        <v>7411</v>
      </c>
      <c r="K1767" s="290" t="s">
        <v>4623</v>
      </c>
      <c r="L1767" s="290" t="s">
        <v>4623</v>
      </c>
      <c r="M1767" s="290" t="s">
        <v>4623</v>
      </c>
      <c r="N1767" s="290" t="s">
        <v>4623</v>
      </c>
      <c r="O1767" s="290" t="s">
        <v>4623</v>
      </c>
      <c r="P1767" s="290" t="s">
        <v>999</v>
      </c>
      <c r="Q1767" s="291" t="s">
        <v>4623</v>
      </c>
      <c r="R1767" s="276"/>
      <c r="S1767" s="277">
        <f>IF(OR(C1767="",C1767=T$4),NA(),MATCH($B1767&amp;$C1767,'Smelter Reference List'!$J:$J,0))</f>
        <v>442</v>
      </c>
      <c r="T1767" s="278"/>
      <c r="U1767" s="278"/>
      <c r="V1767" s="278"/>
      <c r="W1767" s="278"/>
    </row>
    <row r="1768" spans="1:23" s="269" customFormat="1" ht="20.25">
      <c r="A1768" s="267"/>
      <c r="B1768" s="275" t="s">
        <v>2437</v>
      </c>
      <c r="C1768" s="275" t="s">
        <v>3831</v>
      </c>
      <c r="D1768" s="168" t="s">
        <v>6708</v>
      </c>
      <c r="E1768" s="168" t="s">
        <v>2362</v>
      </c>
      <c r="F1768" s="168" t="s">
        <v>4623</v>
      </c>
      <c r="G1768" s="168" t="s">
        <v>4623</v>
      </c>
      <c r="H1768" s="292" t="s">
        <v>4623</v>
      </c>
      <c r="I1768" s="293" t="s">
        <v>4623</v>
      </c>
      <c r="J1768" s="293" t="s">
        <v>4623</v>
      </c>
      <c r="K1768" s="290" t="s">
        <v>4623</v>
      </c>
      <c r="L1768" s="290" t="s">
        <v>4623</v>
      </c>
      <c r="M1768" s="290" t="s">
        <v>4623</v>
      </c>
      <c r="N1768" s="290" t="s">
        <v>4623</v>
      </c>
      <c r="O1768" s="290" t="s">
        <v>4623</v>
      </c>
      <c r="P1768" s="290" t="s">
        <v>999</v>
      </c>
      <c r="Q1768" s="291" t="s">
        <v>4623</v>
      </c>
      <c r="R1768" s="276"/>
      <c r="S1768" s="277">
        <f>IF(OR(C1768="",C1768=T$4),NA(),MATCH($B1768&amp;$C1768,'Smelter Reference List'!$J:$J,0))</f>
        <v>442</v>
      </c>
      <c r="T1768" s="278"/>
      <c r="U1768" s="278"/>
      <c r="V1768" s="278"/>
      <c r="W1768" s="278"/>
    </row>
    <row r="1769" spans="1:23" s="269" customFormat="1" ht="20.25">
      <c r="A1769" s="267"/>
      <c r="B1769" s="275" t="s">
        <v>2437</v>
      </c>
      <c r="C1769" s="275" t="s">
        <v>3831</v>
      </c>
      <c r="D1769" s="168" t="s">
        <v>7412</v>
      </c>
      <c r="E1769" s="168" t="s">
        <v>2362</v>
      </c>
      <c r="F1769" s="168" t="s">
        <v>4623</v>
      </c>
      <c r="G1769" s="168" t="s">
        <v>4623</v>
      </c>
      <c r="H1769" s="292" t="s">
        <v>4623</v>
      </c>
      <c r="I1769" s="293" t="s">
        <v>4623</v>
      </c>
      <c r="J1769" s="293" t="s">
        <v>4623</v>
      </c>
      <c r="K1769" s="290" t="s">
        <v>4623</v>
      </c>
      <c r="L1769" s="290" t="s">
        <v>4623</v>
      </c>
      <c r="M1769" s="290" t="s">
        <v>4623</v>
      </c>
      <c r="N1769" s="290" t="s">
        <v>4623</v>
      </c>
      <c r="O1769" s="290" t="s">
        <v>4623</v>
      </c>
      <c r="P1769" s="290" t="s">
        <v>999</v>
      </c>
      <c r="Q1769" s="291" t="s">
        <v>4623</v>
      </c>
      <c r="R1769" s="276"/>
      <c r="S1769" s="277">
        <f>IF(OR(C1769="",C1769=T$4),NA(),MATCH($B1769&amp;$C1769,'Smelter Reference List'!$J:$J,0))</f>
        <v>442</v>
      </c>
      <c r="T1769" s="278"/>
      <c r="U1769" s="278"/>
      <c r="V1769" s="278"/>
      <c r="W1769" s="278"/>
    </row>
    <row r="1770" spans="1:23" s="269" customFormat="1" ht="20.25">
      <c r="A1770" s="267"/>
      <c r="B1770" s="275" t="s">
        <v>2437</v>
      </c>
      <c r="C1770" s="275" t="s">
        <v>3831</v>
      </c>
      <c r="D1770" s="168" t="s">
        <v>7413</v>
      </c>
      <c r="E1770" s="168" t="s">
        <v>2362</v>
      </c>
      <c r="F1770" s="168" t="s">
        <v>4623</v>
      </c>
      <c r="G1770" s="168" t="s">
        <v>4623</v>
      </c>
      <c r="H1770" s="292" t="s">
        <v>4623</v>
      </c>
      <c r="I1770" s="293" t="s">
        <v>4623</v>
      </c>
      <c r="J1770" s="293" t="s">
        <v>4623</v>
      </c>
      <c r="K1770" s="290" t="s">
        <v>4623</v>
      </c>
      <c r="L1770" s="290" t="s">
        <v>4623</v>
      </c>
      <c r="M1770" s="290" t="s">
        <v>4623</v>
      </c>
      <c r="N1770" s="290" t="s">
        <v>4623</v>
      </c>
      <c r="O1770" s="290" t="s">
        <v>4623</v>
      </c>
      <c r="P1770" s="290" t="s">
        <v>999</v>
      </c>
      <c r="Q1770" s="291" t="s">
        <v>4623</v>
      </c>
      <c r="R1770" s="276"/>
      <c r="S1770" s="277">
        <f>IF(OR(C1770="",C1770=T$4),NA(),MATCH($B1770&amp;$C1770,'Smelter Reference List'!$J:$J,0))</f>
        <v>442</v>
      </c>
      <c r="T1770" s="278"/>
      <c r="U1770" s="278"/>
      <c r="V1770" s="278"/>
      <c r="W1770" s="278"/>
    </row>
    <row r="1771" spans="1:23" s="269" customFormat="1" ht="20.25">
      <c r="A1771" s="267"/>
      <c r="B1771" s="275" t="s">
        <v>2437</v>
      </c>
      <c r="C1771" s="275" t="s">
        <v>3831</v>
      </c>
      <c r="D1771" s="168" t="s">
        <v>7414</v>
      </c>
      <c r="E1771" s="168" t="s">
        <v>2362</v>
      </c>
      <c r="F1771" s="168" t="s">
        <v>4623</v>
      </c>
      <c r="G1771" s="168" t="s">
        <v>4623</v>
      </c>
      <c r="H1771" s="292" t="s">
        <v>7415</v>
      </c>
      <c r="I1771" s="293" t="s">
        <v>3477</v>
      </c>
      <c r="J1771" s="293" t="s">
        <v>7249</v>
      </c>
      <c r="K1771" s="290" t="s">
        <v>7416</v>
      </c>
      <c r="L1771" s="290" t="s">
        <v>7417</v>
      </c>
      <c r="M1771" s="290" t="s">
        <v>4623</v>
      </c>
      <c r="N1771" s="290" t="s">
        <v>4623</v>
      </c>
      <c r="O1771" s="290" t="s">
        <v>4623</v>
      </c>
      <c r="P1771" s="290" t="s">
        <v>999</v>
      </c>
      <c r="Q1771" s="291" t="s">
        <v>4623</v>
      </c>
      <c r="R1771" s="276"/>
      <c r="S1771" s="277">
        <f>IF(OR(C1771="",C1771=T$4),NA(),MATCH($B1771&amp;$C1771,'Smelter Reference List'!$J:$J,0))</f>
        <v>442</v>
      </c>
      <c r="T1771" s="278"/>
      <c r="U1771" s="278"/>
      <c r="V1771" s="278"/>
      <c r="W1771" s="278"/>
    </row>
    <row r="1772" spans="1:23" s="269" customFormat="1" ht="20.25">
      <c r="A1772" s="267"/>
      <c r="B1772" s="275" t="s">
        <v>2437</v>
      </c>
      <c r="C1772" s="275" t="s">
        <v>3831</v>
      </c>
      <c r="D1772" s="168" t="s">
        <v>6709</v>
      </c>
      <c r="E1772" s="168" t="s">
        <v>2362</v>
      </c>
      <c r="F1772" s="168" t="s">
        <v>4623</v>
      </c>
      <c r="G1772" s="168" t="s">
        <v>4623</v>
      </c>
      <c r="H1772" s="292" t="s">
        <v>4623</v>
      </c>
      <c r="I1772" s="293" t="s">
        <v>4623</v>
      </c>
      <c r="J1772" s="293" t="s">
        <v>4623</v>
      </c>
      <c r="K1772" s="290" t="s">
        <v>4623</v>
      </c>
      <c r="L1772" s="290" t="s">
        <v>4623</v>
      </c>
      <c r="M1772" s="290" t="s">
        <v>4623</v>
      </c>
      <c r="N1772" s="290" t="s">
        <v>4623</v>
      </c>
      <c r="O1772" s="290" t="s">
        <v>4623</v>
      </c>
      <c r="P1772" s="290" t="s">
        <v>999</v>
      </c>
      <c r="Q1772" s="291" t="s">
        <v>4623</v>
      </c>
      <c r="R1772" s="276"/>
      <c r="S1772" s="277">
        <f>IF(OR(C1772="",C1772=T$4),NA(),MATCH($B1772&amp;$C1772,'Smelter Reference List'!$J:$J,0))</f>
        <v>442</v>
      </c>
      <c r="T1772" s="278"/>
      <c r="U1772" s="278"/>
      <c r="V1772" s="278"/>
      <c r="W1772" s="278"/>
    </row>
    <row r="1773" spans="1:23" s="269" customFormat="1" ht="20.25">
      <c r="A1773" s="267"/>
      <c r="B1773" s="275" t="s">
        <v>2437</v>
      </c>
      <c r="C1773" s="275" t="s">
        <v>3831</v>
      </c>
      <c r="D1773" s="168" t="s">
        <v>7418</v>
      </c>
      <c r="E1773" s="168" t="s">
        <v>2362</v>
      </c>
      <c r="F1773" s="168" t="s">
        <v>4623</v>
      </c>
      <c r="G1773" s="168" t="s">
        <v>4623</v>
      </c>
      <c r="H1773" s="292" t="s">
        <v>4623</v>
      </c>
      <c r="I1773" s="293" t="s">
        <v>4623</v>
      </c>
      <c r="J1773" s="293" t="s">
        <v>4623</v>
      </c>
      <c r="K1773" s="290" t="s">
        <v>4623</v>
      </c>
      <c r="L1773" s="290" t="s">
        <v>4623</v>
      </c>
      <c r="M1773" s="290" t="s">
        <v>4623</v>
      </c>
      <c r="N1773" s="290" t="s">
        <v>4623</v>
      </c>
      <c r="O1773" s="290" t="s">
        <v>4623</v>
      </c>
      <c r="P1773" s="290" t="s">
        <v>999</v>
      </c>
      <c r="Q1773" s="291" t="s">
        <v>4623</v>
      </c>
      <c r="R1773" s="276"/>
      <c r="S1773" s="277">
        <f>IF(OR(C1773="",C1773=T$4),NA(),MATCH($B1773&amp;$C1773,'Smelter Reference List'!$J:$J,0))</f>
        <v>442</v>
      </c>
      <c r="T1773" s="278"/>
      <c r="U1773" s="278"/>
      <c r="V1773" s="278"/>
      <c r="W1773" s="278"/>
    </row>
    <row r="1774" spans="1:23" s="269" customFormat="1" ht="20.25">
      <c r="A1774" s="267"/>
      <c r="B1774" s="275" t="s">
        <v>2437</v>
      </c>
      <c r="C1774" s="275" t="s">
        <v>3831</v>
      </c>
      <c r="D1774" s="168" t="s">
        <v>5652</v>
      </c>
      <c r="E1774" s="168" t="s">
        <v>2362</v>
      </c>
      <c r="F1774" s="168" t="s">
        <v>4623</v>
      </c>
      <c r="G1774" s="168" t="s">
        <v>4623</v>
      </c>
      <c r="H1774" s="292" t="s">
        <v>4623</v>
      </c>
      <c r="I1774" s="293" t="s">
        <v>4623</v>
      </c>
      <c r="J1774" s="293" t="s">
        <v>4623</v>
      </c>
      <c r="K1774" s="290" t="s">
        <v>4623</v>
      </c>
      <c r="L1774" s="290" t="s">
        <v>4623</v>
      </c>
      <c r="M1774" s="290" t="s">
        <v>4623</v>
      </c>
      <c r="N1774" s="290" t="s">
        <v>4623</v>
      </c>
      <c r="O1774" s="290" t="s">
        <v>4623</v>
      </c>
      <c r="P1774" s="290" t="s">
        <v>999</v>
      </c>
      <c r="Q1774" s="291" t="s">
        <v>4623</v>
      </c>
      <c r="R1774" s="276"/>
      <c r="S1774" s="277">
        <f>IF(OR(C1774="",C1774=T$4),NA(),MATCH($B1774&amp;$C1774,'Smelter Reference List'!$J:$J,0))</f>
        <v>442</v>
      </c>
      <c r="T1774" s="278"/>
      <c r="U1774" s="278"/>
      <c r="V1774" s="278"/>
      <c r="W1774" s="278"/>
    </row>
    <row r="1775" spans="1:23" s="269" customFormat="1" ht="20.25">
      <c r="A1775" s="267"/>
      <c r="B1775" s="275" t="s">
        <v>2437</v>
      </c>
      <c r="C1775" s="275" t="s">
        <v>3831</v>
      </c>
      <c r="D1775" s="168" t="s">
        <v>7419</v>
      </c>
      <c r="E1775" s="168" t="s">
        <v>2362</v>
      </c>
      <c r="F1775" s="168" t="s">
        <v>4623</v>
      </c>
      <c r="G1775" s="168" t="s">
        <v>4623</v>
      </c>
      <c r="H1775" s="292" t="s">
        <v>4623</v>
      </c>
      <c r="I1775" s="293" t="s">
        <v>4623</v>
      </c>
      <c r="J1775" s="293" t="s">
        <v>4623</v>
      </c>
      <c r="K1775" s="290" t="s">
        <v>4623</v>
      </c>
      <c r="L1775" s="290" t="s">
        <v>4623</v>
      </c>
      <c r="M1775" s="290" t="s">
        <v>4623</v>
      </c>
      <c r="N1775" s="290" t="s">
        <v>4623</v>
      </c>
      <c r="O1775" s="290" t="s">
        <v>4623</v>
      </c>
      <c r="P1775" s="290" t="s">
        <v>999</v>
      </c>
      <c r="Q1775" s="291" t="s">
        <v>4623</v>
      </c>
      <c r="R1775" s="276"/>
      <c r="S1775" s="277">
        <f>IF(OR(C1775="",C1775=T$4),NA(),MATCH($B1775&amp;$C1775,'Smelter Reference List'!$J:$J,0))</f>
        <v>442</v>
      </c>
      <c r="T1775" s="278"/>
      <c r="U1775" s="278"/>
      <c r="V1775" s="278"/>
      <c r="W1775" s="278"/>
    </row>
    <row r="1776" spans="1:23" s="269" customFormat="1" ht="20.25">
      <c r="A1776" s="267"/>
      <c r="B1776" s="275" t="s">
        <v>2437</v>
      </c>
      <c r="C1776" s="275" t="s">
        <v>3831</v>
      </c>
      <c r="D1776" s="168" t="s">
        <v>5653</v>
      </c>
      <c r="E1776" s="168" t="s">
        <v>2362</v>
      </c>
      <c r="F1776" s="168" t="s">
        <v>4623</v>
      </c>
      <c r="G1776" s="168" t="s">
        <v>4623</v>
      </c>
      <c r="H1776" s="292" t="s">
        <v>3706</v>
      </c>
      <c r="I1776" s="293" t="s">
        <v>3341</v>
      </c>
      <c r="J1776" s="293" t="s">
        <v>4623</v>
      </c>
      <c r="K1776" s="290" t="s">
        <v>4623</v>
      </c>
      <c r="L1776" s="290" t="s">
        <v>4623</v>
      </c>
      <c r="M1776" s="290" t="s">
        <v>6193</v>
      </c>
      <c r="N1776" s="290" t="s">
        <v>6193</v>
      </c>
      <c r="O1776" s="290" t="s">
        <v>4623</v>
      </c>
      <c r="P1776" s="290" t="s">
        <v>999</v>
      </c>
      <c r="Q1776" s="291" t="s">
        <v>4623</v>
      </c>
      <c r="R1776" s="276"/>
      <c r="S1776" s="277">
        <f>IF(OR(C1776="",C1776=T$4),NA(),MATCH($B1776&amp;$C1776,'Smelter Reference List'!$J:$J,0))</f>
        <v>442</v>
      </c>
      <c r="T1776" s="278"/>
      <c r="U1776" s="278"/>
      <c r="V1776" s="278"/>
      <c r="W1776" s="278"/>
    </row>
    <row r="1777" spans="1:23" s="269" customFormat="1" ht="20.25">
      <c r="A1777" s="267"/>
      <c r="B1777" s="275" t="s">
        <v>2437</v>
      </c>
      <c r="C1777" s="275" t="s">
        <v>3831</v>
      </c>
      <c r="D1777" s="168" t="s">
        <v>7420</v>
      </c>
      <c r="E1777" s="168" t="s">
        <v>2362</v>
      </c>
      <c r="F1777" s="168" t="s">
        <v>4623</v>
      </c>
      <c r="G1777" s="168" t="s">
        <v>4623</v>
      </c>
      <c r="H1777" s="292" t="s">
        <v>4623</v>
      </c>
      <c r="I1777" s="293" t="s">
        <v>4623</v>
      </c>
      <c r="J1777" s="293" t="s">
        <v>4623</v>
      </c>
      <c r="K1777" s="290" t="s">
        <v>4623</v>
      </c>
      <c r="L1777" s="290" t="s">
        <v>4623</v>
      </c>
      <c r="M1777" s="290" t="s">
        <v>4623</v>
      </c>
      <c r="N1777" s="290" t="s">
        <v>4623</v>
      </c>
      <c r="O1777" s="290" t="s">
        <v>4623</v>
      </c>
      <c r="P1777" s="290" t="s">
        <v>999</v>
      </c>
      <c r="Q1777" s="291" t="s">
        <v>4623</v>
      </c>
      <c r="R1777" s="276"/>
      <c r="S1777" s="277">
        <f>IF(OR(C1777="",C1777=T$4),NA(),MATCH($B1777&amp;$C1777,'Smelter Reference List'!$J:$J,0))</f>
        <v>442</v>
      </c>
      <c r="T1777" s="278"/>
      <c r="U1777" s="278"/>
      <c r="V1777" s="278"/>
      <c r="W1777" s="278"/>
    </row>
    <row r="1778" spans="1:23" s="269" customFormat="1" ht="20.25">
      <c r="A1778" s="267"/>
      <c r="B1778" s="275" t="s">
        <v>2437</v>
      </c>
      <c r="C1778" s="275" t="s">
        <v>3831</v>
      </c>
      <c r="D1778" s="168" t="s">
        <v>7421</v>
      </c>
      <c r="E1778" s="168" t="s">
        <v>2362</v>
      </c>
      <c r="F1778" s="168" t="s">
        <v>4623</v>
      </c>
      <c r="G1778" s="168" t="s">
        <v>4623</v>
      </c>
      <c r="H1778" s="292" t="s">
        <v>4623</v>
      </c>
      <c r="I1778" s="293" t="s">
        <v>4623</v>
      </c>
      <c r="J1778" s="293" t="s">
        <v>4623</v>
      </c>
      <c r="K1778" s="290" t="s">
        <v>4623</v>
      </c>
      <c r="L1778" s="290" t="s">
        <v>4623</v>
      </c>
      <c r="M1778" s="290" t="s">
        <v>4623</v>
      </c>
      <c r="N1778" s="290" t="s">
        <v>4623</v>
      </c>
      <c r="O1778" s="290" t="s">
        <v>4623</v>
      </c>
      <c r="P1778" s="290" t="s">
        <v>999</v>
      </c>
      <c r="Q1778" s="291" t="s">
        <v>4623</v>
      </c>
      <c r="R1778" s="276"/>
      <c r="S1778" s="277">
        <f>IF(OR(C1778="",C1778=T$4),NA(),MATCH($B1778&amp;$C1778,'Smelter Reference List'!$J:$J,0))</f>
        <v>442</v>
      </c>
      <c r="T1778" s="278"/>
      <c r="U1778" s="278"/>
      <c r="V1778" s="278"/>
      <c r="W1778" s="278"/>
    </row>
    <row r="1779" spans="1:23" s="269" customFormat="1" ht="20.25">
      <c r="A1779" s="267"/>
      <c r="B1779" s="275" t="s">
        <v>2437</v>
      </c>
      <c r="C1779" s="275" t="s">
        <v>3831</v>
      </c>
      <c r="D1779" s="168" t="s">
        <v>7422</v>
      </c>
      <c r="E1779" s="168" t="s">
        <v>2362</v>
      </c>
      <c r="F1779" s="168" t="s">
        <v>4623</v>
      </c>
      <c r="G1779" s="168" t="s">
        <v>4623</v>
      </c>
      <c r="H1779" s="292" t="s">
        <v>4623</v>
      </c>
      <c r="I1779" s="293" t="s">
        <v>4623</v>
      </c>
      <c r="J1779" s="293" t="s">
        <v>4623</v>
      </c>
      <c r="K1779" s="290" t="s">
        <v>4623</v>
      </c>
      <c r="L1779" s="290" t="s">
        <v>4623</v>
      </c>
      <c r="M1779" s="290" t="s">
        <v>4623</v>
      </c>
      <c r="N1779" s="290" t="s">
        <v>4623</v>
      </c>
      <c r="O1779" s="290" t="s">
        <v>4623</v>
      </c>
      <c r="P1779" s="290" t="s">
        <v>999</v>
      </c>
      <c r="Q1779" s="291" t="s">
        <v>6665</v>
      </c>
      <c r="R1779" s="276"/>
      <c r="S1779" s="277">
        <f>IF(OR(C1779="",C1779=T$4),NA(),MATCH($B1779&amp;$C1779,'Smelter Reference List'!$J:$J,0))</f>
        <v>442</v>
      </c>
      <c r="T1779" s="278"/>
      <c r="U1779" s="278"/>
      <c r="V1779" s="278"/>
      <c r="W1779" s="278"/>
    </row>
    <row r="1780" spans="1:23" s="269" customFormat="1" ht="20.25">
      <c r="A1780" s="267"/>
      <c r="B1780" s="275" t="s">
        <v>2437</v>
      </c>
      <c r="C1780" s="275" t="s">
        <v>3831</v>
      </c>
      <c r="D1780" s="168" t="s">
        <v>7423</v>
      </c>
      <c r="E1780" s="168" t="s">
        <v>2362</v>
      </c>
      <c r="F1780" s="168" t="s">
        <v>4623</v>
      </c>
      <c r="G1780" s="168" t="s">
        <v>4623</v>
      </c>
      <c r="H1780" s="292" t="s">
        <v>4623</v>
      </c>
      <c r="I1780" s="293" t="s">
        <v>4623</v>
      </c>
      <c r="J1780" s="293" t="s">
        <v>4623</v>
      </c>
      <c r="K1780" s="290" t="s">
        <v>4623</v>
      </c>
      <c r="L1780" s="290" t="s">
        <v>4623</v>
      </c>
      <c r="M1780" s="290" t="s">
        <v>4623</v>
      </c>
      <c r="N1780" s="290" t="s">
        <v>4623</v>
      </c>
      <c r="O1780" s="290" t="s">
        <v>4623</v>
      </c>
      <c r="P1780" s="290" t="s">
        <v>999</v>
      </c>
      <c r="Q1780" s="291" t="s">
        <v>4623</v>
      </c>
      <c r="R1780" s="276"/>
      <c r="S1780" s="277">
        <f>IF(OR(C1780="",C1780=T$4),NA(),MATCH($B1780&amp;$C1780,'Smelter Reference List'!$J:$J,0))</f>
        <v>442</v>
      </c>
      <c r="T1780" s="278"/>
      <c r="U1780" s="278"/>
      <c r="V1780" s="278"/>
      <c r="W1780" s="278"/>
    </row>
    <row r="1781" spans="1:23" s="269" customFormat="1" ht="20.25">
      <c r="A1781" s="267"/>
      <c r="B1781" s="275" t="s">
        <v>2437</v>
      </c>
      <c r="C1781" s="275" t="s">
        <v>3831</v>
      </c>
      <c r="D1781" s="168" t="s">
        <v>7424</v>
      </c>
      <c r="E1781" s="168" t="s">
        <v>2362</v>
      </c>
      <c r="F1781" s="168" t="s">
        <v>4623</v>
      </c>
      <c r="G1781" s="168" t="s">
        <v>4623</v>
      </c>
      <c r="H1781" s="292" t="s">
        <v>4623</v>
      </c>
      <c r="I1781" s="293" t="s">
        <v>4623</v>
      </c>
      <c r="J1781" s="293" t="s">
        <v>4623</v>
      </c>
      <c r="K1781" s="290" t="s">
        <v>4623</v>
      </c>
      <c r="L1781" s="290" t="s">
        <v>4623</v>
      </c>
      <c r="M1781" s="290" t="s">
        <v>4623</v>
      </c>
      <c r="N1781" s="290" t="s">
        <v>4623</v>
      </c>
      <c r="O1781" s="290" t="s">
        <v>4623</v>
      </c>
      <c r="P1781" s="290" t="s">
        <v>999</v>
      </c>
      <c r="Q1781" s="291" t="s">
        <v>4623</v>
      </c>
      <c r="R1781" s="276"/>
      <c r="S1781" s="277">
        <f>IF(OR(C1781="",C1781=T$4),NA(),MATCH($B1781&amp;$C1781,'Smelter Reference List'!$J:$J,0))</f>
        <v>442</v>
      </c>
      <c r="T1781" s="278"/>
      <c r="U1781" s="278"/>
      <c r="V1781" s="278"/>
      <c r="W1781" s="278"/>
    </row>
    <row r="1782" spans="1:23" s="269" customFormat="1" ht="20.25">
      <c r="A1782" s="267"/>
      <c r="B1782" s="275" t="s">
        <v>2437</v>
      </c>
      <c r="C1782" s="275" t="s">
        <v>3831</v>
      </c>
      <c r="D1782" s="168" t="s">
        <v>7425</v>
      </c>
      <c r="E1782" s="168" t="s">
        <v>2362</v>
      </c>
      <c r="F1782" s="168" t="s">
        <v>4623</v>
      </c>
      <c r="G1782" s="168" t="s">
        <v>4623</v>
      </c>
      <c r="H1782" s="292" t="s">
        <v>4623</v>
      </c>
      <c r="I1782" s="293" t="s">
        <v>4623</v>
      </c>
      <c r="J1782" s="293" t="s">
        <v>4623</v>
      </c>
      <c r="K1782" s="290" t="s">
        <v>4623</v>
      </c>
      <c r="L1782" s="290" t="s">
        <v>4623</v>
      </c>
      <c r="M1782" s="290" t="s">
        <v>4623</v>
      </c>
      <c r="N1782" s="290" t="s">
        <v>4623</v>
      </c>
      <c r="O1782" s="290" t="s">
        <v>4623</v>
      </c>
      <c r="P1782" s="290" t="s">
        <v>999</v>
      </c>
      <c r="Q1782" s="291" t="s">
        <v>4623</v>
      </c>
      <c r="R1782" s="276"/>
      <c r="S1782" s="277">
        <f>IF(OR(C1782="",C1782=T$4),NA(),MATCH($B1782&amp;$C1782,'Smelter Reference List'!$J:$J,0))</f>
        <v>442</v>
      </c>
      <c r="T1782" s="278"/>
      <c r="U1782" s="278"/>
      <c r="V1782" s="278"/>
      <c r="W1782" s="278"/>
    </row>
    <row r="1783" spans="1:23" s="269" customFormat="1" ht="20.25">
      <c r="A1783" s="267"/>
      <c r="B1783" s="275" t="s">
        <v>2437</v>
      </c>
      <c r="C1783" s="275" t="s">
        <v>3831</v>
      </c>
      <c r="D1783" s="168" t="s">
        <v>5660</v>
      </c>
      <c r="E1783" s="168" t="s">
        <v>2362</v>
      </c>
      <c r="F1783" s="168" t="s">
        <v>4623</v>
      </c>
      <c r="G1783" s="168" t="s">
        <v>4623</v>
      </c>
      <c r="H1783" s="292" t="s">
        <v>5661</v>
      </c>
      <c r="I1783" s="293" t="s">
        <v>5662</v>
      </c>
      <c r="J1783" s="293" t="s">
        <v>5663</v>
      </c>
      <c r="K1783" s="290" t="s">
        <v>4623</v>
      </c>
      <c r="L1783" s="290" t="s">
        <v>4623</v>
      </c>
      <c r="M1783" s="290" t="s">
        <v>4623</v>
      </c>
      <c r="N1783" s="290" t="s">
        <v>4623</v>
      </c>
      <c r="O1783" s="290" t="s">
        <v>4623</v>
      </c>
      <c r="P1783" s="290" t="s">
        <v>999</v>
      </c>
      <c r="Q1783" s="291" t="s">
        <v>4623</v>
      </c>
      <c r="R1783" s="276"/>
      <c r="S1783" s="277">
        <f>IF(OR(C1783="",C1783=T$4),NA(),MATCH($B1783&amp;$C1783,'Smelter Reference List'!$J:$J,0))</f>
        <v>442</v>
      </c>
      <c r="T1783" s="278"/>
      <c r="U1783" s="278"/>
      <c r="V1783" s="278"/>
      <c r="W1783" s="278"/>
    </row>
    <row r="1784" spans="1:23" s="269" customFormat="1" ht="20.25">
      <c r="A1784" s="267"/>
      <c r="B1784" s="275" t="s">
        <v>2437</v>
      </c>
      <c r="C1784" s="275" t="s">
        <v>3831</v>
      </c>
      <c r="D1784" s="168" t="s">
        <v>7426</v>
      </c>
      <c r="E1784" s="168" t="s">
        <v>2362</v>
      </c>
      <c r="F1784" s="168" t="s">
        <v>4623</v>
      </c>
      <c r="G1784" s="168" t="s">
        <v>4623</v>
      </c>
      <c r="H1784" s="292" t="s">
        <v>4623</v>
      </c>
      <c r="I1784" s="293" t="s">
        <v>4700</v>
      </c>
      <c r="J1784" s="293" t="s">
        <v>4623</v>
      </c>
      <c r="K1784" s="290" t="s">
        <v>4623</v>
      </c>
      <c r="L1784" s="290" t="s">
        <v>7427</v>
      </c>
      <c r="M1784" s="290" t="s">
        <v>4628</v>
      </c>
      <c r="N1784" s="290" t="s">
        <v>7428</v>
      </c>
      <c r="O1784" s="290" t="s">
        <v>7429</v>
      </c>
      <c r="P1784" s="290" t="s">
        <v>999</v>
      </c>
      <c r="Q1784" s="291" t="s">
        <v>4623</v>
      </c>
      <c r="R1784" s="276"/>
      <c r="S1784" s="277">
        <f>IF(OR(C1784="",C1784=T$4),NA(),MATCH($B1784&amp;$C1784,'Smelter Reference List'!$J:$J,0))</f>
        <v>442</v>
      </c>
      <c r="T1784" s="278"/>
      <c r="U1784" s="278"/>
      <c r="V1784" s="278"/>
      <c r="W1784" s="278"/>
    </row>
    <row r="1785" spans="1:23" s="269" customFormat="1" ht="20.25">
      <c r="A1785" s="267"/>
      <c r="B1785" s="275" t="s">
        <v>2437</v>
      </c>
      <c r="C1785" s="275" t="s">
        <v>3831</v>
      </c>
      <c r="D1785" s="168" t="s">
        <v>7430</v>
      </c>
      <c r="E1785" s="168" t="s">
        <v>2362</v>
      </c>
      <c r="F1785" s="168" t="s">
        <v>4623</v>
      </c>
      <c r="G1785" s="168" t="s">
        <v>4623</v>
      </c>
      <c r="H1785" s="292" t="s">
        <v>7431</v>
      </c>
      <c r="I1785" s="293" t="s">
        <v>4700</v>
      </c>
      <c r="J1785" s="293" t="s">
        <v>3405</v>
      </c>
      <c r="K1785" s="290" t="s">
        <v>4623</v>
      </c>
      <c r="L1785" s="290" t="s">
        <v>4623</v>
      </c>
      <c r="M1785" s="290" t="s">
        <v>4623</v>
      </c>
      <c r="N1785" s="290" t="s">
        <v>4623</v>
      </c>
      <c r="O1785" s="290" t="s">
        <v>4623</v>
      </c>
      <c r="P1785" s="290" t="s">
        <v>999</v>
      </c>
      <c r="Q1785" s="291" t="s">
        <v>4623</v>
      </c>
      <c r="R1785" s="276"/>
      <c r="S1785" s="277">
        <f>IF(OR(C1785="",C1785=T$4),NA(),MATCH($B1785&amp;$C1785,'Smelter Reference List'!$J:$J,0))</f>
        <v>442</v>
      </c>
      <c r="T1785" s="278"/>
      <c r="U1785" s="278"/>
      <c r="V1785" s="278"/>
      <c r="W1785" s="278"/>
    </row>
    <row r="1786" spans="1:23" s="269" customFormat="1" ht="20.25">
      <c r="A1786" s="267"/>
      <c r="B1786" s="275" t="s">
        <v>2437</v>
      </c>
      <c r="C1786" s="275" t="s">
        <v>3831</v>
      </c>
      <c r="D1786" s="168" t="s">
        <v>4775</v>
      </c>
      <c r="E1786" s="168" t="s">
        <v>2362</v>
      </c>
      <c r="F1786" s="168" t="s">
        <v>4623</v>
      </c>
      <c r="G1786" s="168" t="s">
        <v>4623</v>
      </c>
      <c r="H1786" s="292" t="s">
        <v>4623</v>
      </c>
      <c r="I1786" s="293" t="s">
        <v>4623</v>
      </c>
      <c r="J1786" s="293" t="s">
        <v>4623</v>
      </c>
      <c r="K1786" s="290" t="s">
        <v>4623</v>
      </c>
      <c r="L1786" s="290" t="s">
        <v>4623</v>
      </c>
      <c r="M1786" s="290" t="s">
        <v>4623</v>
      </c>
      <c r="N1786" s="290" t="s">
        <v>4623</v>
      </c>
      <c r="O1786" s="290" t="s">
        <v>4623</v>
      </c>
      <c r="P1786" s="290" t="s">
        <v>999</v>
      </c>
      <c r="Q1786" s="291" t="s">
        <v>4623</v>
      </c>
      <c r="R1786" s="276"/>
      <c r="S1786" s="277">
        <f>IF(OR(C1786="",C1786=T$4),NA(),MATCH($B1786&amp;$C1786,'Smelter Reference List'!$J:$J,0))</f>
        <v>442</v>
      </c>
      <c r="T1786" s="278"/>
      <c r="U1786" s="278"/>
      <c r="V1786" s="278"/>
      <c r="W1786" s="278"/>
    </row>
    <row r="1787" spans="1:23" s="269" customFormat="1" ht="20.25">
      <c r="A1787" s="267"/>
      <c r="B1787" s="275" t="s">
        <v>2437</v>
      </c>
      <c r="C1787" s="275" t="s">
        <v>3831</v>
      </c>
      <c r="D1787" s="168" t="s">
        <v>7432</v>
      </c>
      <c r="E1787" s="168" t="s">
        <v>2362</v>
      </c>
      <c r="F1787" s="168" t="s">
        <v>4623</v>
      </c>
      <c r="G1787" s="168" t="s">
        <v>4623</v>
      </c>
      <c r="H1787" s="292" t="s">
        <v>7433</v>
      </c>
      <c r="I1787" s="293" t="s">
        <v>7434</v>
      </c>
      <c r="J1787" s="293" t="s">
        <v>7435</v>
      </c>
      <c r="K1787" s="290" t="s">
        <v>4623</v>
      </c>
      <c r="L1787" s="290" t="s">
        <v>4623</v>
      </c>
      <c r="M1787" s="290" t="s">
        <v>4623</v>
      </c>
      <c r="N1787" s="290" t="s">
        <v>4623</v>
      </c>
      <c r="O1787" s="290" t="s">
        <v>4623</v>
      </c>
      <c r="P1787" s="290" t="s">
        <v>999</v>
      </c>
      <c r="Q1787" s="291" t="s">
        <v>4623</v>
      </c>
      <c r="R1787" s="276"/>
      <c r="S1787" s="277">
        <f>IF(OR(C1787="",C1787=T$4),NA(),MATCH($B1787&amp;$C1787,'Smelter Reference List'!$J:$J,0))</f>
        <v>442</v>
      </c>
      <c r="T1787" s="278"/>
      <c r="U1787" s="278"/>
      <c r="V1787" s="278"/>
      <c r="W1787" s="278"/>
    </row>
    <row r="1788" spans="1:23" s="269" customFormat="1" ht="20.25">
      <c r="A1788" s="267"/>
      <c r="B1788" s="275" t="s">
        <v>2437</v>
      </c>
      <c r="C1788" s="275" t="s">
        <v>3831</v>
      </c>
      <c r="D1788" s="168" t="s">
        <v>7436</v>
      </c>
      <c r="E1788" s="168" t="s">
        <v>2362</v>
      </c>
      <c r="F1788" s="168" t="s">
        <v>4623</v>
      </c>
      <c r="G1788" s="168" t="s">
        <v>4623</v>
      </c>
      <c r="H1788" s="292" t="s">
        <v>4623</v>
      </c>
      <c r="I1788" s="293" t="s">
        <v>4623</v>
      </c>
      <c r="J1788" s="293" t="s">
        <v>4623</v>
      </c>
      <c r="K1788" s="290" t="s">
        <v>4623</v>
      </c>
      <c r="L1788" s="290" t="s">
        <v>4623</v>
      </c>
      <c r="M1788" s="290" t="s">
        <v>4623</v>
      </c>
      <c r="N1788" s="290" t="s">
        <v>4623</v>
      </c>
      <c r="O1788" s="290" t="s">
        <v>4623</v>
      </c>
      <c r="P1788" s="290" t="s">
        <v>999</v>
      </c>
      <c r="Q1788" s="291" t="s">
        <v>4623</v>
      </c>
      <c r="R1788" s="276"/>
      <c r="S1788" s="277">
        <f>IF(OR(C1788="",C1788=T$4),NA(),MATCH($B1788&amp;$C1788,'Smelter Reference List'!$J:$J,0))</f>
        <v>442</v>
      </c>
      <c r="T1788" s="278"/>
      <c r="U1788" s="278"/>
      <c r="V1788" s="278"/>
      <c r="W1788" s="278"/>
    </row>
    <row r="1789" spans="1:23" s="269" customFormat="1" ht="20.25">
      <c r="A1789" s="267"/>
      <c r="B1789" s="275" t="s">
        <v>2437</v>
      </c>
      <c r="C1789" s="275" t="s">
        <v>3831</v>
      </c>
      <c r="D1789" s="168" t="s">
        <v>7437</v>
      </c>
      <c r="E1789" s="168" t="s">
        <v>2362</v>
      </c>
      <c r="F1789" s="168" t="s">
        <v>4623</v>
      </c>
      <c r="G1789" s="168" t="s">
        <v>4623</v>
      </c>
      <c r="H1789" s="292" t="s">
        <v>4623</v>
      </c>
      <c r="I1789" s="293" t="s">
        <v>4623</v>
      </c>
      <c r="J1789" s="293" t="s">
        <v>4623</v>
      </c>
      <c r="K1789" s="290" t="s">
        <v>4623</v>
      </c>
      <c r="L1789" s="290" t="s">
        <v>4623</v>
      </c>
      <c r="M1789" s="290" t="s">
        <v>4623</v>
      </c>
      <c r="N1789" s="290" t="s">
        <v>4623</v>
      </c>
      <c r="O1789" s="290" t="s">
        <v>4623</v>
      </c>
      <c r="P1789" s="290" t="s">
        <v>999</v>
      </c>
      <c r="Q1789" s="291" t="s">
        <v>4623</v>
      </c>
      <c r="R1789" s="276"/>
      <c r="S1789" s="277">
        <f>IF(OR(C1789="",C1789=T$4),NA(),MATCH($B1789&amp;$C1789,'Smelter Reference List'!$J:$J,0))</f>
        <v>442</v>
      </c>
      <c r="T1789" s="278"/>
      <c r="U1789" s="278"/>
      <c r="V1789" s="278"/>
      <c r="W1789" s="278"/>
    </row>
    <row r="1790" spans="1:23" s="269" customFormat="1" ht="20.25">
      <c r="A1790" s="267"/>
      <c r="B1790" s="275" t="s">
        <v>2437</v>
      </c>
      <c r="C1790" s="275" t="s">
        <v>3831</v>
      </c>
      <c r="D1790" s="168" t="s">
        <v>7438</v>
      </c>
      <c r="E1790" s="168" t="s">
        <v>2362</v>
      </c>
      <c r="F1790" s="168" t="s">
        <v>4623</v>
      </c>
      <c r="G1790" s="168" t="s">
        <v>4623</v>
      </c>
      <c r="H1790" s="292" t="s">
        <v>7439</v>
      </c>
      <c r="I1790" s="293" t="s">
        <v>7440</v>
      </c>
      <c r="J1790" s="293" t="s">
        <v>7441</v>
      </c>
      <c r="K1790" s="290" t="s">
        <v>4623</v>
      </c>
      <c r="L1790" s="290" t="s">
        <v>4623</v>
      </c>
      <c r="M1790" s="290" t="s">
        <v>4623</v>
      </c>
      <c r="N1790" s="290" t="s">
        <v>4623</v>
      </c>
      <c r="O1790" s="290" t="s">
        <v>4623</v>
      </c>
      <c r="P1790" s="290" t="s">
        <v>999</v>
      </c>
      <c r="Q1790" s="291" t="s">
        <v>4623</v>
      </c>
      <c r="R1790" s="276"/>
      <c r="S1790" s="277">
        <f>IF(OR(C1790="",C1790=T$4),NA(),MATCH($B1790&amp;$C1790,'Smelter Reference List'!$J:$J,0))</f>
        <v>442</v>
      </c>
      <c r="T1790" s="278"/>
      <c r="U1790" s="278"/>
      <c r="V1790" s="278"/>
      <c r="W1790" s="278"/>
    </row>
    <row r="1791" spans="1:23" s="269" customFormat="1" ht="20.25">
      <c r="A1791" s="267"/>
      <c r="B1791" s="275" t="s">
        <v>2437</v>
      </c>
      <c r="C1791" s="275" t="s">
        <v>3831</v>
      </c>
      <c r="D1791" s="168" t="s">
        <v>7442</v>
      </c>
      <c r="E1791" s="168" t="s">
        <v>2362</v>
      </c>
      <c r="F1791" s="168" t="s">
        <v>4623</v>
      </c>
      <c r="G1791" s="168" t="s">
        <v>4623</v>
      </c>
      <c r="H1791" s="292" t="s">
        <v>4623</v>
      </c>
      <c r="I1791" s="293" t="s">
        <v>4623</v>
      </c>
      <c r="J1791" s="293" t="s">
        <v>4623</v>
      </c>
      <c r="K1791" s="290" t="s">
        <v>4623</v>
      </c>
      <c r="L1791" s="290" t="s">
        <v>4623</v>
      </c>
      <c r="M1791" s="290" t="s">
        <v>4623</v>
      </c>
      <c r="N1791" s="290" t="s">
        <v>4623</v>
      </c>
      <c r="O1791" s="290" t="s">
        <v>4623</v>
      </c>
      <c r="P1791" s="290" t="s">
        <v>999</v>
      </c>
      <c r="Q1791" s="291" t="s">
        <v>4623</v>
      </c>
      <c r="R1791" s="276"/>
      <c r="S1791" s="277">
        <f>IF(OR(C1791="",C1791=T$4),NA(),MATCH($B1791&amp;$C1791,'Smelter Reference List'!$J:$J,0))</f>
        <v>442</v>
      </c>
      <c r="T1791" s="278"/>
      <c r="U1791" s="278"/>
      <c r="V1791" s="278"/>
      <c r="W1791" s="278"/>
    </row>
    <row r="1792" spans="1:23" s="269" customFormat="1" ht="20.25">
      <c r="A1792" s="267"/>
      <c r="B1792" s="275" t="s">
        <v>2437</v>
      </c>
      <c r="C1792" s="275" t="s">
        <v>3831</v>
      </c>
      <c r="D1792" s="168" t="s">
        <v>7443</v>
      </c>
      <c r="E1792" s="168" t="s">
        <v>2362</v>
      </c>
      <c r="F1792" s="168" t="s">
        <v>4623</v>
      </c>
      <c r="G1792" s="168" t="s">
        <v>4623</v>
      </c>
      <c r="H1792" s="292" t="s">
        <v>4623</v>
      </c>
      <c r="I1792" s="293" t="s">
        <v>4623</v>
      </c>
      <c r="J1792" s="293" t="s">
        <v>4623</v>
      </c>
      <c r="K1792" s="290" t="s">
        <v>4623</v>
      </c>
      <c r="L1792" s="290" t="s">
        <v>4623</v>
      </c>
      <c r="M1792" s="290" t="s">
        <v>4623</v>
      </c>
      <c r="N1792" s="290" t="s">
        <v>4623</v>
      </c>
      <c r="O1792" s="290" t="s">
        <v>4623</v>
      </c>
      <c r="P1792" s="290" t="s">
        <v>999</v>
      </c>
      <c r="Q1792" s="291" t="s">
        <v>1005</v>
      </c>
      <c r="R1792" s="276"/>
      <c r="S1792" s="277">
        <f>IF(OR(C1792="",C1792=T$4),NA(),MATCH($B1792&amp;$C1792,'Smelter Reference List'!$J:$J,0))</f>
        <v>442</v>
      </c>
      <c r="T1792" s="278"/>
      <c r="U1792" s="278"/>
      <c r="V1792" s="278"/>
      <c r="W1792" s="278"/>
    </row>
    <row r="1793" spans="1:23" s="269" customFormat="1" ht="20.25">
      <c r="A1793" s="267"/>
      <c r="B1793" s="275" t="s">
        <v>2437</v>
      </c>
      <c r="C1793" s="275" t="s">
        <v>3831</v>
      </c>
      <c r="D1793" s="168" t="s">
        <v>5683</v>
      </c>
      <c r="E1793" s="168" t="s">
        <v>2362</v>
      </c>
      <c r="F1793" s="168" t="s">
        <v>4623</v>
      </c>
      <c r="G1793" s="168" t="s">
        <v>4623</v>
      </c>
      <c r="H1793" s="292" t="s">
        <v>7444</v>
      </c>
      <c r="I1793" s="293" t="s">
        <v>3328</v>
      </c>
      <c r="J1793" s="293" t="s">
        <v>4623</v>
      </c>
      <c r="K1793" s="290" t="s">
        <v>4623</v>
      </c>
      <c r="L1793" s="290" t="s">
        <v>4623</v>
      </c>
      <c r="M1793" s="290" t="s">
        <v>4623</v>
      </c>
      <c r="N1793" s="290" t="s">
        <v>5684</v>
      </c>
      <c r="O1793" s="290" t="s">
        <v>4623</v>
      </c>
      <c r="P1793" s="290" t="s">
        <v>999</v>
      </c>
      <c r="Q1793" s="291" t="s">
        <v>4623</v>
      </c>
      <c r="R1793" s="276"/>
      <c r="S1793" s="277">
        <f>IF(OR(C1793="",C1793=T$4),NA(),MATCH($B1793&amp;$C1793,'Smelter Reference List'!$J:$J,0))</f>
        <v>442</v>
      </c>
      <c r="T1793" s="278"/>
      <c r="U1793" s="278"/>
      <c r="V1793" s="278"/>
      <c r="W1793" s="278"/>
    </row>
    <row r="1794" spans="1:23" s="269" customFormat="1" ht="20.25">
      <c r="A1794" s="267"/>
      <c r="B1794" s="275" t="s">
        <v>2437</v>
      </c>
      <c r="C1794" s="275" t="s">
        <v>3831</v>
      </c>
      <c r="D1794" s="168" t="s">
        <v>6775</v>
      </c>
      <c r="E1794" s="168" t="s">
        <v>2362</v>
      </c>
      <c r="F1794" s="168" t="s">
        <v>4623</v>
      </c>
      <c r="G1794" s="168" t="s">
        <v>4623</v>
      </c>
      <c r="H1794" s="292" t="s">
        <v>4623</v>
      </c>
      <c r="I1794" s="293" t="s">
        <v>4623</v>
      </c>
      <c r="J1794" s="293" t="s">
        <v>7445</v>
      </c>
      <c r="K1794" s="290" t="s">
        <v>7446</v>
      </c>
      <c r="L1794" s="290" t="s">
        <v>4769</v>
      </c>
      <c r="M1794" s="290" t="s">
        <v>4769</v>
      </c>
      <c r="N1794" s="290" t="s">
        <v>4623</v>
      </c>
      <c r="O1794" s="290" t="s">
        <v>4623</v>
      </c>
      <c r="P1794" s="290" t="s">
        <v>999</v>
      </c>
      <c r="Q1794" s="291" t="s">
        <v>4623</v>
      </c>
      <c r="R1794" s="276"/>
      <c r="S1794" s="277">
        <f>IF(OR(C1794="",C1794=T$4),NA(),MATCH($B1794&amp;$C1794,'Smelter Reference List'!$J:$J,0))</f>
        <v>442</v>
      </c>
      <c r="T1794" s="278"/>
      <c r="U1794" s="278"/>
      <c r="V1794" s="278"/>
      <c r="W1794" s="278"/>
    </row>
    <row r="1795" spans="1:23" s="269" customFormat="1" ht="20.25">
      <c r="A1795" s="267"/>
      <c r="B1795" s="275" t="s">
        <v>2437</v>
      </c>
      <c r="C1795" s="275" t="s">
        <v>3831</v>
      </c>
      <c r="D1795" s="168" t="s">
        <v>7259</v>
      </c>
      <c r="E1795" s="168" t="s">
        <v>2362</v>
      </c>
      <c r="F1795" s="168" t="s">
        <v>4623</v>
      </c>
      <c r="G1795" s="168" t="s">
        <v>4623</v>
      </c>
      <c r="H1795" s="292" t="s">
        <v>7447</v>
      </c>
      <c r="I1795" s="293" t="s">
        <v>7448</v>
      </c>
      <c r="J1795" s="293" t="s">
        <v>7449</v>
      </c>
      <c r="K1795" s="290" t="s">
        <v>7450</v>
      </c>
      <c r="L1795" s="290" t="s">
        <v>4623</v>
      </c>
      <c r="M1795" s="290" t="s">
        <v>7451</v>
      </c>
      <c r="N1795" s="290" t="s">
        <v>4792</v>
      </c>
      <c r="O1795" s="290" t="s">
        <v>4792</v>
      </c>
      <c r="P1795" s="290" t="s">
        <v>999</v>
      </c>
      <c r="Q1795" s="291" t="s">
        <v>4623</v>
      </c>
      <c r="R1795" s="276"/>
      <c r="S1795" s="277">
        <f>IF(OR(C1795="",C1795=T$4),NA(),MATCH($B1795&amp;$C1795,'Smelter Reference List'!$J:$J,0))</f>
        <v>442</v>
      </c>
      <c r="T1795" s="278"/>
      <c r="U1795" s="278"/>
      <c r="V1795" s="278"/>
      <c r="W1795" s="278"/>
    </row>
    <row r="1796" spans="1:23" s="269" customFormat="1" ht="20.25">
      <c r="A1796" s="267"/>
      <c r="B1796" s="275" t="s">
        <v>2437</v>
      </c>
      <c r="C1796" s="275" t="s">
        <v>3831</v>
      </c>
      <c r="D1796" s="168" t="s">
        <v>7452</v>
      </c>
      <c r="E1796" s="168" t="s">
        <v>2362</v>
      </c>
      <c r="F1796" s="168" t="s">
        <v>4623</v>
      </c>
      <c r="G1796" s="168" t="s">
        <v>4623</v>
      </c>
      <c r="H1796" s="292" t="s">
        <v>4623</v>
      </c>
      <c r="I1796" s="293" t="s">
        <v>4623</v>
      </c>
      <c r="J1796" s="293" t="s">
        <v>4623</v>
      </c>
      <c r="K1796" s="290" t="s">
        <v>4623</v>
      </c>
      <c r="L1796" s="290" t="s">
        <v>4623</v>
      </c>
      <c r="M1796" s="290" t="s">
        <v>4623</v>
      </c>
      <c r="N1796" s="290" t="s">
        <v>4623</v>
      </c>
      <c r="O1796" s="290" t="s">
        <v>4623</v>
      </c>
      <c r="P1796" s="290" t="s">
        <v>999</v>
      </c>
      <c r="Q1796" s="291" t="s">
        <v>4623</v>
      </c>
      <c r="R1796" s="276"/>
      <c r="S1796" s="277">
        <f>IF(OR(C1796="",C1796=T$4),NA(),MATCH($B1796&amp;$C1796,'Smelter Reference List'!$J:$J,0))</f>
        <v>442</v>
      </c>
      <c r="T1796" s="278"/>
      <c r="U1796" s="278"/>
      <c r="V1796" s="278"/>
      <c r="W1796" s="278"/>
    </row>
    <row r="1797" spans="1:23" s="269" customFormat="1" ht="20.25">
      <c r="A1797" s="267"/>
      <c r="B1797" s="275" t="s">
        <v>2437</v>
      </c>
      <c r="C1797" s="275" t="s">
        <v>3831</v>
      </c>
      <c r="D1797" s="168" t="s">
        <v>7453</v>
      </c>
      <c r="E1797" s="168" t="s">
        <v>2362</v>
      </c>
      <c r="F1797" s="168" t="s">
        <v>4623</v>
      </c>
      <c r="G1797" s="168" t="s">
        <v>4623</v>
      </c>
      <c r="H1797" s="292" t="s">
        <v>4623</v>
      </c>
      <c r="I1797" s="293" t="s">
        <v>4623</v>
      </c>
      <c r="J1797" s="293" t="s">
        <v>4623</v>
      </c>
      <c r="K1797" s="290" t="s">
        <v>4623</v>
      </c>
      <c r="L1797" s="290" t="s">
        <v>4623</v>
      </c>
      <c r="M1797" s="290" t="s">
        <v>4623</v>
      </c>
      <c r="N1797" s="290" t="s">
        <v>4623</v>
      </c>
      <c r="O1797" s="290" t="s">
        <v>4623</v>
      </c>
      <c r="P1797" s="290" t="s">
        <v>999</v>
      </c>
      <c r="Q1797" s="291" t="s">
        <v>4623</v>
      </c>
      <c r="R1797" s="276"/>
      <c r="S1797" s="277">
        <f>IF(OR(C1797="",C1797=T$4),NA(),MATCH($B1797&amp;$C1797,'Smelter Reference List'!$J:$J,0))</f>
        <v>442</v>
      </c>
      <c r="T1797" s="278"/>
      <c r="U1797" s="278"/>
      <c r="V1797" s="278"/>
      <c r="W1797" s="278"/>
    </row>
    <row r="1798" spans="1:23" s="269" customFormat="1" ht="20.25">
      <c r="A1798" s="267"/>
      <c r="B1798" s="275" t="s">
        <v>2437</v>
      </c>
      <c r="C1798" s="275" t="s">
        <v>3831</v>
      </c>
      <c r="D1798" s="168" t="s">
        <v>5694</v>
      </c>
      <c r="E1798" s="168" t="s">
        <v>2362</v>
      </c>
      <c r="F1798" s="168" t="s">
        <v>4623</v>
      </c>
      <c r="G1798" s="168" t="s">
        <v>4623</v>
      </c>
      <c r="H1798" s="292" t="s">
        <v>4623</v>
      </c>
      <c r="I1798" s="293" t="s">
        <v>4623</v>
      </c>
      <c r="J1798" s="293" t="s">
        <v>4623</v>
      </c>
      <c r="K1798" s="290" t="s">
        <v>4623</v>
      </c>
      <c r="L1798" s="290" t="s">
        <v>4623</v>
      </c>
      <c r="M1798" s="290" t="s">
        <v>4623</v>
      </c>
      <c r="N1798" s="290" t="s">
        <v>4623</v>
      </c>
      <c r="O1798" s="290" t="s">
        <v>4623</v>
      </c>
      <c r="P1798" s="290" t="s">
        <v>999</v>
      </c>
      <c r="Q1798" s="291" t="s">
        <v>4623</v>
      </c>
      <c r="R1798" s="276"/>
      <c r="S1798" s="277">
        <f>IF(OR(C1798="",C1798=T$4),NA(),MATCH($B1798&amp;$C1798,'Smelter Reference List'!$J:$J,0))</f>
        <v>442</v>
      </c>
      <c r="T1798" s="278"/>
      <c r="U1798" s="278"/>
      <c r="V1798" s="278"/>
      <c r="W1798" s="278"/>
    </row>
    <row r="1799" spans="1:23" s="269" customFormat="1" ht="20.25">
      <c r="A1799" s="267"/>
      <c r="B1799" s="275" t="s">
        <v>2437</v>
      </c>
      <c r="C1799" s="275" t="s">
        <v>3831</v>
      </c>
      <c r="D1799" s="168" t="s">
        <v>7454</v>
      </c>
      <c r="E1799" s="168" t="s">
        <v>2362</v>
      </c>
      <c r="F1799" s="168" t="s">
        <v>4623</v>
      </c>
      <c r="G1799" s="168" t="s">
        <v>4623</v>
      </c>
      <c r="H1799" s="292" t="s">
        <v>4623</v>
      </c>
      <c r="I1799" s="293" t="s">
        <v>4623</v>
      </c>
      <c r="J1799" s="293" t="s">
        <v>4623</v>
      </c>
      <c r="K1799" s="290" t="s">
        <v>4623</v>
      </c>
      <c r="L1799" s="290" t="s">
        <v>4623</v>
      </c>
      <c r="M1799" s="290" t="s">
        <v>4623</v>
      </c>
      <c r="N1799" s="290" t="s">
        <v>4623</v>
      </c>
      <c r="O1799" s="290" t="s">
        <v>4623</v>
      </c>
      <c r="P1799" s="290" t="s">
        <v>999</v>
      </c>
      <c r="Q1799" s="291" t="s">
        <v>4623</v>
      </c>
      <c r="R1799" s="276"/>
      <c r="S1799" s="277">
        <f>IF(OR(C1799="",C1799=T$4),NA(),MATCH($B1799&amp;$C1799,'Smelter Reference List'!$J:$J,0))</f>
        <v>442</v>
      </c>
      <c r="T1799" s="278"/>
      <c r="U1799" s="278"/>
      <c r="V1799" s="278"/>
      <c r="W1799" s="278"/>
    </row>
    <row r="1800" spans="1:23" s="269" customFormat="1" ht="20.25">
      <c r="A1800" s="267"/>
      <c r="B1800" s="275" t="s">
        <v>2437</v>
      </c>
      <c r="C1800" s="275" t="s">
        <v>3831</v>
      </c>
      <c r="D1800" s="168" t="s">
        <v>7455</v>
      </c>
      <c r="E1800" s="168" t="s">
        <v>2362</v>
      </c>
      <c r="F1800" s="168" t="s">
        <v>4623</v>
      </c>
      <c r="G1800" s="168" t="s">
        <v>4623</v>
      </c>
      <c r="H1800" s="292" t="s">
        <v>4623</v>
      </c>
      <c r="I1800" s="293" t="s">
        <v>4623</v>
      </c>
      <c r="J1800" s="293" t="s">
        <v>4623</v>
      </c>
      <c r="K1800" s="290" t="s">
        <v>4623</v>
      </c>
      <c r="L1800" s="290" t="s">
        <v>4623</v>
      </c>
      <c r="M1800" s="290" t="s">
        <v>4623</v>
      </c>
      <c r="N1800" s="290" t="s">
        <v>4623</v>
      </c>
      <c r="O1800" s="290" t="s">
        <v>4623</v>
      </c>
      <c r="P1800" s="290" t="s">
        <v>999</v>
      </c>
      <c r="Q1800" s="291" t="s">
        <v>4623</v>
      </c>
      <c r="R1800" s="276"/>
      <c r="S1800" s="277">
        <f>IF(OR(C1800="",C1800=T$4),NA(),MATCH($B1800&amp;$C1800,'Smelter Reference List'!$J:$J,0))</f>
        <v>442</v>
      </c>
      <c r="T1800" s="278"/>
      <c r="U1800" s="278"/>
      <c r="V1800" s="278"/>
      <c r="W1800" s="278"/>
    </row>
    <row r="1801" spans="1:23" s="269" customFormat="1" ht="20.25">
      <c r="A1801" s="267"/>
      <c r="B1801" s="275" t="s">
        <v>2437</v>
      </c>
      <c r="C1801" s="275" t="s">
        <v>3831</v>
      </c>
      <c r="D1801" s="168" t="s">
        <v>7456</v>
      </c>
      <c r="E1801" s="168" t="s">
        <v>2362</v>
      </c>
      <c r="F1801" s="168" t="s">
        <v>4623</v>
      </c>
      <c r="G1801" s="168" t="s">
        <v>4623</v>
      </c>
      <c r="H1801" s="292" t="s">
        <v>4623</v>
      </c>
      <c r="I1801" s="293" t="s">
        <v>4623</v>
      </c>
      <c r="J1801" s="293" t="s">
        <v>4623</v>
      </c>
      <c r="K1801" s="290" t="s">
        <v>4623</v>
      </c>
      <c r="L1801" s="290" t="s">
        <v>4623</v>
      </c>
      <c r="M1801" s="290" t="s">
        <v>4623</v>
      </c>
      <c r="N1801" s="290" t="s">
        <v>4623</v>
      </c>
      <c r="O1801" s="290" t="s">
        <v>4623</v>
      </c>
      <c r="P1801" s="290" t="s">
        <v>999</v>
      </c>
      <c r="Q1801" s="291" t="s">
        <v>4623</v>
      </c>
      <c r="R1801" s="276"/>
      <c r="S1801" s="277">
        <f>IF(OR(C1801="",C1801=T$4),NA(),MATCH($B1801&amp;$C1801,'Smelter Reference List'!$J:$J,0))</f>
        <v>442</v>
      </c>
      <c r="T1801" s="278"/>
      <c r="U1801" s="278"/>
      <c r="V1801" s="278"/>
      <c r="W1801" s="278"/>
    </row>
    <row r="1802" spans="1:23" s="269" customFormat="1" ht="20.25">
      <c r="A1802" s="267"/>
      <c r="B1802" s="275" t="s">
        <v>2437</v>
      </c>
      <c r="C1802" s="275" t="s">
        <v>3831</v>
      </c>
      <c r="D1802" s="168" t="s">
        <v>7457</v>
      </c>
      <c r="E1802" s="168" t="s">
        <v>2362</v>
      </c>
      <c r="F1802" s="168" t="s">
        <v>4623</v>
      </c>
      <c r="G1802" s="168" t="s">
        <v>4623</v>
      </c>
      <c r="H1802" s="292" t="s">
        <v>4623</v>
      </c>
      <c r="I1802" s="293" t="s">
        <v>4623</v>
      </c>
      <c r="J1802" s="293" t="s">
        <v>4623</v>
      </c>
      <c r="K1802" s="290" t="s">
        <v>4623</v>
      </c>
      <c r="L1802" s="290" t="s">
        <v>4623</v>
      </c>
      <c r="M1802" s="290" t="s">
        <v>4623</v>
      </c>
      <c r="N1802" s="290" t="s">
        <v>4623</v>
      </c>
      <c r="O1802" s="290" t="s">
        <v>4623</v>
      </c>
      <c r="P1802" s="290" t="s">
        <v>999</v>
      </c>
      <c r="Q1802" s="291" t="s">
        <v>4623</v>
      </c>
      <c r="R1802" s="276"/>
      <c r="S1802" s="277">
        <f>IF(OR(C1802="",C1802=T$4),NA(),MATCH($B1802&amp;$C1802,'Smelter Reference List'!$J:$J,0))</f>
        <v>442</v>
      </c>
      <c r="T1802" s="278"/>
      <c r="U1802" s="278"/>
      <c r="V1802" s="278"/>
      <c r="W1802" s="278"/>
    </row>
    <row r="1803" spans="1:23" s="269" customFormat="1" ht="20.25">
      <c r="A1803" s="267"/>
      <c r="B1803" s="275" t="s">
        <v>2437</v>
      </c>
      <c r="C1803" s="275" t="s">
        <v>3831</v>
      </c>
      <c r="D1803" s="168" t="s">
        <v>7458</v>
      </c>
      <c r="E1803" s="168" t="s">
        <v>2362</v>
      </c>
      <c r="F1803" s="168" t="s">
        <v>4623</v>
      </c>
      <c r="G1803" s="168" t="s">
        <v>4623</v>
      </c>
      <c r="H1803" s="292" t="s">
        <v>7459</v>
      </c>
      <c r="I1803" s="293" t="s">
        <v>7460</v>
      </c>
      <c r="J1803" s="293" t="s">
        <v>7461</v>
      </c>
      <c r="K1803" s="290" t="s">
        <v>4623</v>
      </c>
      <c r="L1803" s="290" t="s">
        <v>4623</v>
      </c>
      <c r="M1803" s="290" t="s">
        <v>4623</v>
      </c>
      <c r="N1803" s="290" t="s">
        <v>4623</v>
      </c>
      <c r="O1803" s="290" t="s">
        <v>4623</v>
      </c>
      <c r="P1803" s="290" t="s">
        <v>999</v>
      </c>
      <c r="Q1803" s="291" t="s">
        <v>4623</v>
      </c>
      <c r="R1803" s="276"/>
      <c r="S1803" s="277">
        <f>IF(OR(C1803="",C1803=T$4),NA(),MATCH($B1803&amp;$C1803,'Smelter Reference List'!$J:$J,0))</f>
        <v>442</v>
      </c>
      <c r="T1803" s="278"/>
      <c r="U1803" s="278"/>
      <c r="V1803" s="278"/>
      <c r="W1803" s="278"/>
    </row>
    <row r="1804" spans="1:23" s="269" customFormat="1" ht="20.25">
      <c r="A1804" s="267"/>
      <c r="B1804" s="275" t="s">
        <v>2437</v>
      </c>
      <c r="C1804" s="275" t="s">
        <v>3831</v>
      </c>
      <c r="D1804" s="168" t="s">
        <v>7462</v>
      </c>
      <c r="E1804" s="168" t="s">
        <v>2362</v>
      </c>
      <c r="F1804" s="168" t="s">
        <v>4623</v>
      </c>
      <c r="G1804" s="168" t="s">
        <v>4623</v>
      </c>
      <c r="H1804" s="292" t="s">
        <v>4623</v>
      </c>
      <c r="I1804" s="293" t="s">
        <v>4623</v>
      </c>
      <c r="J1804" s="293" t="s">
        <v>4623</v>
      </c>
      <c r="K1804" s="290" t="s">
        <v>4623</v>
      </c>
      <c r="L1804" s="290" t="s">
        <v>4623</v>
      </c>
      <c r="M1804" s="290" t="s">
        <v>4623</v>
      </c>
      <c r="N1804" s="290" t="s">
        <v>4623</v>
      </c>
      <c r="O1804" s="290" t="s">
        <v>4623</v>
      </c>
      <c r="P1804" s="290" t="s">
        <v>999</v>
      </c>
      <c r="Q1804" s="291" t="s">
        <v>4623</v>
      </c>
      <c r="R1804" s="276"/>
      <c r="S1804" s="277">
        <f>IF(OR(C1804="",C1804=T$4),NA(),MATCH($B1804&amp;$C1804,'Smelter Reference List'!$J:$J,0))</f>
        <v>442</v>
      </c>
      <c r="T1804" s="278"/>
      <c r="U1804" s="278"/>
      <c r="V1804" s="278"/>
      <c r="W1804" s="278"/>
    </row>
    <row r="1805" spans="1:23" s="269" customFormat="1" ht="20.25">
      <c r="A1805" s="267"/>
      <c r="B1805" s="275" t="s">
        <v>2437</v>
      </c>
      <c r="C1805" s="275" t="s">
        <v>3831</v>
      </c>
      <c r="D1805" s="168" t="s">
        <v>7463</v>
      </c>
      <c r="E1805" s="168" t="s">
        <v>2362</v>
      </c>
      <c r="F1805" s="168" t="s">
        <v>4623</v>
      </c>
      <c r="G1805" s="168" t="s">
        <v>4623</v>
      </c>
      <c r="H1805" s="292" t="s">
        <v>4623</v>
      </c>
      <c r="I1805" s="293" t="s">
        <v>4623</v>
      </c>
      <c r="J1805" s="293" t="s">
        <v>4623</v>
      </c>
      <c r="K1805" s="290" t="s">
        <v>4623</v>
      </c>
      <c r="L1805" s="290" t="s">
        <v>4623</v>
      </c>
      <c r="M1805" s="290" t="s">
        <v>4623</v>
      </c>
      <c r="N1805" s="290" t="s">
        <v>4623</v>
      </c>
      <c r="O1805" s="290" t="s">
        <v>4623</v>
      </c>
      <c r="P1805" s="290" t="s">
        <v>999</v>
      </c>
      <c r="Q1805" s="291" t="s">
        <v>4623</v>
      </c>
      <c r="R1805" s="276"/>
      <c r="S1805" s="277">
        <f>IF(OR(C1805="",C1805=T$4),NA(),MATCH($B1805&amp;$C1805,'Smelter Reference List'!$J:$J,0))</f>
        <v>442</v>
      </c>
      <c r="T1805" s="278"/>
      <c r="U1805" s="278"/>
      <c r="V1805" s="278"/>
      <c r="W1805" s="278"/>
    </row>
    <row r="1806" spans="1:23" s="269" customFormat="1" ht="20.25">
      <c r="A1806" s="267"/>
      <c r="B1806" s="275" t="s">
        <v>2437</v>
      </c>
      <c r="C1806" s="275" t="s">
        <v>3831</v>
      </c>
      <c r="D1806" s="168" t="s">
        <v>7464</v>
      </c>
      <c r="E1806" s="168" t="s">
        <v>2362</v>
      </c>
      <c r="F1806" s="168" t="s">
        <v>4623</v>
      </c>
      <c r="G1806" s="168" t="s">
        <v>4623</v>
      </c>
      <c r="H1806" s="292" t="s">
        <v>7465</v>
      </c>
      <c r="I1806" s="293" t="s">
        <v>7465</v>
      </c>
      <c r="J1806" s="293" t="s">
        <v>5033</v>
      </c>
      <c r="K1806" s="290" t="s">
        <v>4623</v>
      </c>
      <c r="L1806" s="290" t="s">
        <v>4623</v>
      </c>
      <c r="M1806" s="290" t="s">
        <v>7466</v>
      </c>
      <c r="N1806" s="290" t="s">
        <v>7466</v>
      </c>
      <c r="O1806" s="290" t="s">
        <v>4623</v>
      </c>
      <c r="P1806" s="290" t="s">
        <v>999</v>
      </c>
      <c r="Q1806" s="291" t="s">
        <v>4623</v>
      </c>
      <c r="R1806" s="276"/>
      <c r="S1806" s="277">
        <f>IF(OR(C1806="",C1806=T$4),NA(),MATCH($B1806&amp;$C1806,'Smelter Reference List'!$J:$J,0))</f>
        <v>442</v>
      </c>
      <c r="T1806" s="278"/>
      <c r="U1806" s="278"/>
      <c r="V1806" s="278"/>
      <c r="W1806" s="278"/>
    </row>
    <row r="1807" spans="1:23" s="269" customFormat="1" ht="20.25">
      <c r="A1807" s="267"/>
      <c r="B1807" s="275" t="s">
        <v>2437</v>
      </c>
      <c r="C1807" s="275" t="s">
        <v>3831</v>
      </c>
      <c r="D1807" s="168" t="s">
        <v>7467</v>
      </c>
      <c r="E1807" s="168" t="s">
        <v>2362</v>
      </c>
      <c r="F1807" s="168" t="s">
        <v>4623</v>
      </c>
      <c r="G1807" s="168" t="s">
        <v>4623</v>
      </c>
      <c r="H1807" s="292" t="s">
        <v>4623</v>
      </c>
      <c r="I1807" s="293" t="s">
        <v>4623</v>
      </c>
      <c r="J1807" s="293" t="s">
        <v>4623</v>
      </c>
      <c r="K1807" s="290" t="s">
        <v>4623</v>
      </c>
      <c r="L1807" s="290" t="s">
        <v>4623</v>
      </c>
      <c r="M1807" s="290" t="s">
        <v>4623</v>
      </c>
      <c r="N1807" s="290" t="s">
        <v>4623</v>
      </c>
      <c r="O1807" s="290" t="s">
        <v>4623</v>
      </c>
      <c r="P1807" s="290" t="s">
        <v>999</v>
      </c>
      <c r="Q1807" s="291" t="s">
        <v>4623</v>
      </c>
      <c r="R1807" s="276"/>
      <c r="S1807" s="277">
        <f>IF(OR(C1807="",C1807=T$4),NA(),MATCH($B1807&amp;$C1807,'Smelter Reference List'!$J:$J,0))</f>
        <v>442</v>
      </c>
      <c r="T1807" s="278"/>
      <c r="U1807" s="278"/>
      <c r="V1807" s="278"/>
      <c r="W1807" s="278"/>
    </row>
    <row r="1808" spans="1:23" s="269" customFormat="1" ht="20.25">
      <c r="A1808" s="267"/>
      <c r="B1808" s="275" t="s">
        <v>2437</v>
      </c>
      <c r="C1808" s="275" t="s">
        <v>3831</v>
      </c>
      <c r="D1808" s="168" t="s">
        <v>7468</v>
      </c>
      <c r="E1808" s="168" t="s">
        <v>2362</v>
      </c>
      <c r="F1808" s="168" t="s">
        <v>4623</v>
      </c>
      <c r="G1808" s="168" t="s">
        <v>4623</v>
      </c>
      <c r="H1808" s="292" t="s">
        <v>4623</v>
      </c>
      <c r="I1808" s="293" t="s">
        <v>4623</v>
      </c>
      <c r="J1808" s="293" t="s">
        <v>4623</v>
      </c>
      <c r="K1808" s="290" t="s">
        <v>4623</v>
      </c>
      <c r="L1808" s="290" t="s">
        <v>4623</v>
      </c>
      <c r="M1808" s="290" t="s">
        <v>6377</v>
      </c>
      <c r="N1808" s="290" t="s">
        <v>5000</v>
      </c>
      <c r="O1808" s="290" t="s">
        <v>5000</v>
      </c>
      <c r="P1808" s="290" t="s">
        <v>999</v>
      </c>
      <c r="Q1808" s="291" t="s">
        <v>4623</v>
      </c>
      <c r="R1808" s="276"/>
      <c r="S1808" s="277">
        <f>IF(OR(C1808="",C1808=T$4),NA(),MATCH($B1808&amp;$C1808,'Smelter Reference List'!$J:$J,0))</f>
        <v>442</v>
      </c>
      <c r="T1808" s="278"/>
      <c r="U1808" s="278"/>
      <c r="V1808" s="278"/>
      <c r="W1808" s="278"/>
    </row>
    <row r="1809" spans="1:23" s="269" customFormat="1" ht="20.25">
      <c r="A1809" s="267"/>
      <c r="B1809" s="275" t="s">
        <v>2437</v>
      </c>
      <c r="C1809" s="275" t="s">
        <v>3831</v>
      </c>
      <c r="D1809" s="168" t="s">
        <v>7469</v>
      </c>
      <c r="E1809" s="168" t="s">
        <v>2362</v>
      </c>
      <c r="F1809" s="168" t="s">
        <v>4623</v>
      </c>
      <c r="G1809" s="168" t="s">
        <v>4623</v>
      </c>
      <c r="H1809" s="292" t="s">
        <v>4623</v>
      </c>
      <c r="I1809" s="293" t="s">
        <v>4623</v>
      </c>
      <c r="J1809" s="293" t="s">
        <v>4623</v>
      </c>
      <c r="K1809" s="290" t="s">
        <v>4623</v>
      </c>
      <c r="L1809" s="290" t="s">
        <v>4623</v>
      </c>
      <c r="M1809" s="290" t="s">
        <v>4623</v>
      </c>
      <c r="N1809" s="290" t="s">
        <v>4623</v>
      </c>
      <c r="O1809" s="290" t="s">
        <v>4623</v>
      </c>
      <c r="P1809" s="290" t="s">
        <v>999</v>
      </c>
      <c r="Q1809" s="291" t="s">
        <v>4623</v>
      </c>
      <c r="R1809" s="276"/>
      <c r="S1809" s="277">
        <f>IF(OR(C1809="",C1809=T$4),NA(),MATCH($B1809&amp;$C1809,'Smelter Reference List'!$J:$J,0))</f>
        <v>442</v>
      </c>
      <c r="T1809" s="278"/>
      <c r="U1809" s="278"/>
      <c r="V1809" s="278"/>
      <c r="W1809" s="278"/>
    </row>
    <row r="1810" spans="1:23" s="269" customFormat="1" ht="20.25">
      <c r="A1810" s="267"/>
      <c r="B1810" s="275" t="s">
        <v>2437</v>
      </c>
      <c r="C1810" s="275" t="s">
        <v>3831</v>
      </c>
      <c r="D1810" s="168" t="s">
        <v>7470</v>
      </c>
      <c r="E1810" s="168" t="s">
        <v>2362</v>
      </c>
      <c r="F1810" s="168" t="s">
        <v>4623</v>
      </c>
      <c r="G1810" s="168" t="s">
        <v>4623</v>
      </c>
      <c r="H1810" s="292" t="s">
        <v>4623</v>
      </c>
      <c r="I1810" s="293" t="s">
        <v>4623</v>
      </c>
      <c r="J1810" s="293" t="s">
        <v>4623</v>
      </c>
      <c r="K1810" s="290" t="s">
        <v>4623</v>
      </c>
      <c r="L1810" s="290" t="s">
        <v>4623</v>
      </c>
      <c r="M1810" s="290" t="s">
        <v>4623</v>
      </c>
      <c r="N1810" s="290" t="s">
        <v>4623</v>
      </c>
      <c r="O1810" s="290" t="s">
        <v>4623</v>
      </c>
      <c r="P1810" s="290" t="s">
        <v>999</v>
      </c>
      <c r="Q1810" s="291" t="s">
        <v>4623</v>
      </c>
      <c r="R1810" s="276"/>
      <c r="S1810" s="277">
        <f>IF(OR(C1810="",C1810=T$4),NA(),MATCH($B1810&amp;$C1810,'Smelter Reference List'!$J:$J,0))</f>
        <v>442</v>
      </c>
      <c r="T1810" s="278"/>
      <c r="U1810" s="278"/>
      <c r="V1810" s="278"/>
      <c r="W1810" s="278"/>
    </row>
    <row r="1811" spans="1:23" s="269" customFormat="1" ht="20.25">
      <c r="A1811" s="267"/>
      <c r="B1811" s="275" t="s">
        <v>2437</v>
      </c>
      <c r="C1811" s="275" t="s">
        <v>3831</v>
      </c>
      <c r="D1811" s="168" t="s">
        <v>7471</v>
      </c>
      <c r="E1811" s="168" t="s">
        <v>2362</v>
      </c>
      <c r="F1811" s="168" t="s">
        <v>4623</v>
      </c>
      <c r="G1811" s="168" t="s">
        <v>4623</v>
      </c>
      <c r="H1811" s="292" t="s">
        <v>7472</v>
      </c>
      <c r="I1811" s="293" t="s">
        <v>7473</v>
      </c>
      <c r="J1811" s="293" t="s">
        <v>3328</v>
      </c>
      <c r="K1811" s="290" t="s">
        <v>7474</v>
      </c>
      <c r="L1811" s="290" t="s">
        <v>4623</v>
      </c>
      <c r="M1811" s="290" t="s">
        <v>4623</v>
      </c>
      <c r="N1811" s="290" t="s">
        <v>7322</v>
      </c>
      <c r="O1811" s="290" t="s">
        <v>4792</v>
      </c>
      <c r="P1811" s="290" t="s">
        <v>999</v>
      </c>
      <c r="Q1811" s="291" t="s">
        <v>4623</v>
      </c>
      <c r="R1811" s="276"/>
      <c r="S1811" s="277">
        <f>IF(OR(C1811="",C1811=T$4),NA(),MATCH($B1811&amp;$C1811,'Smelter Reference List'!$J:$J,0))</f>
        <v>442</v>
      </c>
      <c r="T1811" s="278"/>
      <c r="U1811" s="278"/>
      <c r="V1811" s="278"/>
      <c r="W1811" s="278"/>
    </row>
    <row r="1812" spans="1:23" s="269" customFormat="1" ht="20.25">
      <c r="A1812" s="267"/>
      <c r="B1812" s="275" t="s">
        <v>2437</v>
      </c>
      <c r="C1812" s="275" t="s">
        <v>3831</v>
      </c>
      <c r="D1812" s="168" t="s">
        <v>7475</v>
      </c>
      <c r="E1812" s="168" t="s">
        <v>2362</v>
      </c>
      <c r="F1812" s="168" t="s">
        <v>4623</v>
      </c>
      <c r="G1812" s="168" t="s">
        <v>4623</v>
      </c>
      <c r="H1812" s="292" t="s">
        <v>4623</v>
      </c>
      <c r="I1812" s="293" t="s">
        <v>4623</v>
      </c>
      <c r="J1812" s="293" t="s">
        <v>4623</v>
      </c>
      <c r="K1812" s="290" t="s">
        <v>4623</v>
      </c>
      <c r="L1812" s="290" t="s">
        <v>4623</v>
      </c>
      <c r="M1812" s="290" t="s">
        <v>4623</v>
      </c>
      <c r="N1812" s="290" t="s">
        <v>4623</v>
      </c>
      <c r="O1812" s="290" t="s">
        <v>4623</v>
      </c>
      <c r="P1812" s="290" t="s">
        <v>999</v>
      </c>
      <c r="Q1812" s="291" t="s">
        <v>4623</v>
      </c>
      <c r="R1812" s="276"/>
      <c r="S1812" s="277">
        <f>IF(OR(C1812="",C1812=T$4),NA(),MATCH($B1812&amp;$C1812,'Smelter Reference List'!$J:$J,0))</f>
        <v>442</v>
      </c>
      <c r="T1812" s="278"/>
      <c r="U1812" s="278"/>
      <c r="V1812" s="278"/>
      <c r="W1812" s="278"/>
    </row>
    <row r="1813" spans="1:23" s="269" customFormat="1" ht="20.25">
      <c r="A1813" s="267"/>
      <c r="B1813" s="275" t="s">
        <v>2437</v>
      </c>
      <c r="C1813" s="275" t="s">
        <v>3831</v>
      </c>
      <c r="D1813" s="168" t="s">
        <v>7476</v>
      </c>
      <c r="E1813" s="168" t="s">
        <v>2362</v>
      </c>
      <c r="F1813" s="168" t="s">
        <v>4623</v>
      </c>
      <c r="G1813" s="168" t="s">
        <v>4623</v>
      </c>
      <c r="H1813" s="292" t="s">
        <v>7477</v>
      </c>
      <c r="I1813" s="293" t="s">
        <v>4623</v>
      </c>
      <c r="J1813" s="293" t="s">
        <v>4623</v>
      </c>
      <c r="K1813" s="290" t="s">
        <v>4623</v>
      </c>
      <c r="L1813" s="290" t="s">
        <v>7478</v>
      </c>
      <c r="M1813" s="290" t="s">
        <v>4623</v>
      </c>
      <c r="N1813" s="290" t="s">
        <v>4623</v>
      </c>
      <c r="O1813" s="290" t="s">
        <v>4623</v>
      </c>
      <c r="P1813" s="290" t="s">
        <v>999</v>
      </c>
      <c r="Q1813" s="291" t="s">
        <v>4623</v>
      </c>
      <c r="R1813" s="276"/>
      <c r="S1813" s="277">
        <f>IF(OR(C1813="",C1813=T$4),NA(),MATCH($B1813&amp;$C1813,'Smelter Reference List'!$J:$J,0))</f>
        <v>442</v>
      </c>
      <c r="T1813" s="278"/>
      <c r="U1813" s="278"/>
      <c r="V1813" s="278"/>
      <c r="W1813" s="278"/>
    </row>
    <row r="1814" spans="1:23" s="269" customFormat="1" ht="20.25">
      <c r="A1814" s="267"/>
      <c r="B1814" s="275" t="s">
        <v>2437</v>
      </c>
      <c r="C1814" s="275" t="s">
        <v>3831</v>
      </c>
      <c r="D1814" s="168" t="s">
        <v>7479</v>
      </c>
      <c r="E1814" s="168" t="s">
        <v>2362</v>
      </c>
      <c r="F1814" s="168" t="s">
        <v>4623</v>
      </c>
      <c r="G1814" s="168" t="s">
        <v>4623</v>
      </c>
      <c r="H1814" s="292" t="s">
        <v>4623</v>
      </c>
      <c r="I1814" s="293" t="s">
        <v>4623</v>
      </c>
      <c r="J1814" s="293" t="s">
        <v>4623</v>
      </c>
      <c r="K1814" s="290" t="s">
        <v>4623</v>
      </c>
      <c r="L1814" s="290" t="s">
        <v>4623</v>
      </c>
      <c r="M1814" s="290" t="s">
        <v>4623</v>
      </c>
      <c r="N1814" s="290" t="s">
        <v>4623</v>
      </c>
      <c r="O1814" s="290" t="s">
        <v>4623</v>
      </c>
      <c r="P1814" s="290" t="s">
        <v>999</v>
      </c>
      <c r="Q1814" s="291" t="s">
        <v>4623</v>
      </c>
      <c r="R1814" s="276"/>
      <c r="S1814" s="277">
        <f>IF(OR(C1814="",C1814=T$4),NA(),MATCH($B1814&amp;$C1814,'Smelter Reference List'!$J:$J,0))</f>
        <v>442</v>
      </c>
      <c r="T1814" s="278"/>
      <c r="U1814" s="278"/>
      <c r="V1814" s="278"/>
      <c r="W1814" s="278"/>
    </row>
    <row r="1815" spans="1:23" s="269" customFormat="1" ht="20.25">
      <c r="A1815" s="267"/>
      <c r="B1815" s="275" t="s">
        <v>2437</v>
      </c>
      <c r="C1815" s="275" t="s">
        <v>3831</v>
      </c>
      <c r="D1815" s="168" t="s">
        <v>7480</v>
      </c>
      <c r="E1815" s="168" t="s">
        <v>2362</v>
      </c>
      <c r="F1815" s="168" t="s">
        <v>4623</v>
      </c>
      <c r="G1815" s="168" t="s">
        <v>4623</v>
      </c>
      <c r="H1815" s="292" t="s">
        <v>4623</v>
      </c>
      <c r="I1815" s="293" t="s">
        <v>4623</v>
      </c>
      <c r="J1815" s="293" t="s">
        <v>4623</v>
      </c>
      <c r="K1815" s="290" t="s">
        <v>4623</v>
      </c>
      <c r="L1815" s="290" t="s">
        <v>4623</v>
      </c>
      <c r="M1815" s="290" t="s">
        <v>4623</v>
      </c>
      <c r="N1815" s="290" t="s">
        <v>4623</v>
      </c>
      <c r="O1815" s="290" t="s">
        <v>4623</v>
      </c>
      <c r="P1815" s="290" t="s">
        <v>999</v>
      </c>
      <c r="Q1815" s="291" t="s">
        <v>4623</v>
      </c>
      <c r="R1815" s="276"/>
      <c r="S1815" s="277">
        <f>IF(OR(C1815="",C1815=T$4),NA(),MATCH($B1815&amp;$C1815,'Smelter Reference List'!$J:$J,0))</f>
        <v>442</v>
      </c>
      <c r="T1815" s="278"/>
      <c r="U1815" s="278"/>
      <c r="V1815" s="278"/>
      <c r="W1815" s="278"/>
    </row>
    <row r="1816" spans="1:23" s="269" customFormat="1" ht="20.25">
      <c r="A1816" s="267"/>
      <c r="B1816" s="275" t="s">
        <v>2437</v>
      </c>
      <c r="C1816" s="275" t="s">
        <v>3831</v>
      </c>
      <c r="D1816" s="168" t="s">
        <v>7481</v>
      </c>
      <c r="E1816" s="168" t="s">
        <v>2362</v>
      </c>
      <c r="F1816" s="168" t="s">
        <v>4623</v>
      </c>
      <c r="G1816" s="168" t="s">
        <v>4623</v>
      </c>
      <c r="H1816" s="292" t="s">
        <v>7482</v>
      </c>
      <c r="I1816" s="293" t="s">
        <v>7483</v>
      </c>
      <c r="J1816" s="293" t="s">
        <v>7484</v>
      </c>
      <c r="K1816" s="290" t="s">
        <v>4623</v>
      </c>
      <c r="L1816" s="290" t="s">
        <v>4623</v>
      </c>
      <c r="M1816" s="290" t="s">
        <v>4623</v>
      </c>
      <c r="N1816" s="290" t="s">
        <v>4623</v>
      </c>
      <c r="O1816" s="290" t="s">
        <v>4623</v>
      </c>
      <c r="P1816" s="290" t="s">
        <v>999</v>
      </c>
      <c r="Q1816" s="291" t="s">
        <v>4623</v>
      </c>
      <c r="R1816" s="276"/>
      <c r="S1816" s="277">
        <f>IF(OR(C1816="",C1816=T$4),NA(),MATCH($B1816&amp;$C1816,'Smelter Reference List'!$J:$J,0))</f>
        <v>442</v>
      </c>
      <c r="T1816" s="278"/>
      <c r="U1816" s="278"/>
      <c r="V1816" s="278"/>
      <c r="W1816" s="278"/>
    </row>
    <row r="1817" spans="1:23" s="269" customFormat="1" ht="20.25">
      <c r="A1817" s="267"/>
      <c r="B1817" s="275" t="s">
        <v>2437</v>
      </c>
      <c r="C1817" s="275" t="s">
        <v>3831</v>
      </c>
      <c r="D1817" s="168" t="s">
        <v>7485</v>
      </c>
      <c r="E1817" s="168" t="s">
        <v>2362</v>
      </c>
      <c r="F1817" s="168" t="s">
        <v>4623</v>
      </c>
      <c r="G1817" s="168" t="s">
        <v>4623</v>
      </c>
      <c r="H1817" s="292" t="s">
        <v>4623</v>
      </c>
      <c r="I1817" s="293" t="s">
        <v>4623</v>
      </c>
      <c r="J1817" s="293" t="s">
        <v>4623</v>
      </c>
      <c r="K1817" s="290" t="s">
        <v>4623</v>
      </c>
      <c r="L1817" s="290" t="s">
        <v>4623</v>
      </c>
      <c r="M1817" s="290" t="s">
        <v>4623</v>
      </c>
      <c r="N1817" s="290" t="s">
        <v>4623</v>
      </c>
      <c r="O1817" s="290" t="s">
        <v>4623</v>
      </c>
      <c r="P1817" s="290" t="s">
        <v>999</v>
      </c>
      <c r="Q1817" s="291" t="s">
        <v>4623</v>
      </c>
      <c r="R1817" s="276"/>
      <c r="S1817" s="277">
        <f>IF(OR(C1817="",C1817=T$4),NA(),MATCH($B1817&amp;$C1817,'Smelter Reference List'!$J:$J,0))</f>
        <v>442</v>
      </c>
      <c r="T1817" s="278"/>
      <c r="U1817" s="278"/>
      <c r="V1817" s="278"/>
      <c r="W1817" s="278"/>
    </row>
    <row r="1818" spans="1:23" s="269" customFormat="1" ht="20.25">
      <c r="A1818" s="267"/>
      <c r="B1818" s="275" t="s">
        <v>2437</v>
      </c>
      <c r="C1818" s="275" t="s">
        <v>3831</v>
      </c>
      <c r="D1818" s="168" t="s">
        <v>7486</v>
      </c>
      <c r="E1818" s="168" t="s">
        <v>2362</v>
      </c>
      <c r="F1818" s="168" t="s">
        <v>4623</v>
      </c>
      <c r="G1818" s="168" t="s">
        <v>4623</v>
      </c>
      <c r="H1818" s="292" t="s">
        <v>7487</v>
      </c>
      <c r="I1818" s="293" t="s">
        <v>7488</v>
      </c>
      <c r="J1818" s="293" t="s">
        <v>3462</v>
      </c>
      <c r="K1818" s="290" t="s">
        <v>4623</v>
      </c>
      <c r="L1818" s="290" t="s">
        <v>4623</v>
      </c>
      <c r="M1818" s="290" t="s">
        <v>4623</v>
      </c>
      <c r="N1818" s="290" t="s">
        <v>4623</v>
      </c>
      <c r="O1818" s="290" t="s">
        <v>4623</v>
      </c>
      <c r="P1818" s="290" t="s">
        <v>999</v>
      </c>
      <c r="Q1818" s="291" t="s">
        <v>4623</v>
      </c>
      <c r="R1818" s="276"/>
      <c r="S1818" s="277">
        <f>IF(OR(C1818="",C1818=T$4),NA(),MATCH($B1818&amp;$C1818,'Smelter Reference List'!$J:$J,0))</f>
        <v>442</v>
      </c>
      <c r="T1818" s="278"/>
      <c r="U1818" s="278"/>
      <c r="V1818" s="278"/>
      <c r="W1818" s="278"/>
    </row>
    <row r="1819" spans="1:23" s="269" customFormat="1" ht="20.25">
      <c r="A1819" s="267"/>
      <c r="B1819" s="275" t="s">
        <v>2437</v>
      </c>
      <c r="C1819" s="275" t="s">
        <v>3831</v>
      </c>
      <c r="D1819" s="168" t="s">
        <v>7489</v>
      </c>
      <c r="E1819" s="168" t="s">
        <v>2362</v>
      </c>
      <c r="F1819" s="168" t="s">
        <v>4623</v>
      </c>
      <c r="G1819" s="168" t="s">
        <v>4623</v>
      </c>
      <c r="H1819" s="292" t="s">
        <v>4623</v>
      </c>
      <c r="I1819" s="293" t="s">
        <v>4623</v>
      </c>
      <c r="J1819" s="293" t="s">
        <v>4623</v>
      </c>
      <c r="K1819" s="290" t="s">
        <v>4623</v>
      </c>
      <c r="L1819" s="290" t="s">
        <v>4623</v>
      </c>
      <c r="M1819" s="290" t="s">
        <v>4623</v>
      </c>
      <c r="N1819" s="290" t="s">
        <v>4623</v>
      </c>
      <c r="O1819" s="290" t="s">
        <v>4623</v>
      </c>
      <c r="P1819" s="290" t="s">
        <v>999</v>
      </c>
      <c r="Q1819" s="291" t="s">
        <v>4623</v>
      </c>
      <c r="R1819" s="276"/>
      <c r="S1819" s="277">
        <f>IF(OR(C1819="",C1819=T$4),NA(),MATCH($B1819&amp;$C1819,'Smelter Reference List'!$J:$J,0))</f>
        <v>442</v>
      </c>
      <c r="T1819" s="278"/>
      <c r="U1819" s="278"/>
      <c r="V1819" s="278"/>
      <c r="W1819" s="278"/>
    </row>
    <row r="1820" spans="1:23" s="269" customFormat="1" ht="20.25">
      <c r="A1820" s="267"/>
      <c r="B1820" s="275" t="s">
        <v>2437</v>
      </c>
      <c r="C1820" s="275" t="s">
        <v>3831</v>
      </c>
      <c r="D1820" s="168" t="s">
        <v>2045</v>
      </c>
      <c r="E1820" s="168" t="s">
        <v>2362</v>
      </c>
      <c r="F1820" s="168" t="s">
        <v>4623</v>
      </c>
      <c r="G1820" s="168" t="s">
        <v>4623</v>
      </c>
      <c r="H1820" s="292" t="s">
        <v>4623</v>
      </c>
      <c r="I1820" s="293" t="s">
        <v>4623</v>
      </c>
      <c r="J1820" s="293" t="s">
        <v>4623</v>
      </c>
      <c r="K1820" s="290" t="s">
        <v>4623</v>
      </c>
      <c r="L1820" s="290" t="s">
        <v>4623</v>
      </c>
      <c r="M1820" s="290" t="s">
        <v>4623</v>
      </c>
      <c r="N1820" s="290" t="s">
        <v>4623</v>
      </c>
      <c r="O1820" s="290" t="s">
        <v>4623</v>
      </c>
      <c r="P1820" s="290" t="s">
        <v>999</v>
      </c>
      <c r="Q1820" s="291" t="s">
        <v>4623</v>
      </c>
      <c r="R1820" s="276"/>
      <c r="S1820" s="277">
        <f>IF(OR(C1820="",C1820=T$4),NA(),MATCH($B1820&amp;$C1820,'Smelter Reference List'!$J:$J,0))</f>
        <v>442</v>
      </c>
      <c r="T1820" s="278"/>
      <c r="U1820" s="278"/>
      <c r="V1820" s="278"/>
      <c r="W1820" s="278"/>
    </row>
    <row r="1821" spans="1:23" s="269" customFormat="1" ht="20.25">
      <c r="A1821" s="267"/>
      <c r="B1821" s="275" t="s">
        <v>2437</v>
      </c>
      <c r="C1821" s="275" t="s">
        <v>3831</v>
      </c>
      <c r="D1821" s="168" t="s">
        <v>5724</v>
      </c>
      <c r="E1821" s="168" t="s">
        <v>2362</v>
      </c>
      <c r="F1821" s="168" t="s">
        <v>4623</v>
      </c>
      <c r="G1821" s="168" t="s">
        <v>4623</v>
      </c>
      <c r="H1821" s="292" t="s">
        <v>7490</v>
      </c>
      <c r="I1821" s="293" t="s">
        <v>7491</v>
      </c>
      <c r="J1821" s="293" t="s">
        <v>7441</v>
      </c>
      <c r="K1821" s="290" t="s">
        <v>7492</v>
      </c>
      <c r="L1821" s="290" t="s">
        <v>4623</v>
      </c>
      <c r="M1821" s="290" t="s">
        <v>4623</v>
      </c>
      <c r="N1821" s="290" t="s">
        <v>4671</v>
      </c>
      <c r="O1821" s="290" t="s">
        <v>4671</v>
      </c>
      <c r="P1821" s="290" t="s">
        <v>999</v>
      </c>
      <c r="Q1821" s="291" t="s">
        <v>4623</v>
      </c>
      <c r="R1821" s="276"/>
      <c r="S1821" s="277">
        <f>IF(OR(C1821="",C1821=T$4),NA(),MATCH($B1821&amp;$C1821,'Smelter Reference List'!$J:$J,0))</f>
        <v>442</v>
      </c>
      <c r="T1821" s="278"/>
      <c r="U1821" s="278"/>
      <c r="V1821" s="278"/>
      <c r="W1821" s="278"/>
    </row>
    <row r="1822" spans="1:23" s="269" customFormat="1" ht="20.25">
      <c r="A1822" s="267"/>
      <c r="B1822" s="275" t="s">
        <v>2437</v>
      </c>
      <c r="C1822" s="275" t="s">
        <v>3831</v>
      </c>
      <c r="D1822" s="168" t="s">
        <v>7493</v>
      </c>
      <c r="E1822" s="168" t="s">
        <v>2362</v>
      </c>
      <c r="F1822" s="168" t="s">
        <v>4623</v>
      </c>
      <c r="G1822" s="168" t="s">
        <v>4623</v>
      </c>
      <c r="H1822" s="292" t="s">
        <v>4623</v>
      </c>
      <c r="I1822" s="293" t="s">
        <v>4623</v>
      </c>
      <c r="J1822" s="293" t="s">
        <v>4623</v>
      </c>
      <c r="K1822" s="290" t="s">
        <v>4623</v>
      </c>
      <c r="L1822" s="290" t="s">
        <v>4623</v>
      </c>
      <c r="M1822" s="290" t="s">
        <v>4623</v>
      </c>
      <c r="N1822" s="290" t="s">
        <v>4623</v>
      </c>
      <c r="O1822" s="290" t="s">
        <v>4623</v>
      </c>
      <c r="P1822" s="290" t="s">
        <v>999</v>
      </c>
      <c r="Q1822" s="291" t="s">
        <v>4623</v>
      </c>
      <c r="R1822" s="276"/>
      <c r="S1822" s="277">
        <f>IF(OR(C1822="",C1822=T$4),NA(),MATCH($B1822&amp;$C1822,'Smelter Reference List'!$J:$J,0))</f>
        <v>442</v>
      </c>
      <c r="T1822" s="278"/>
      <c r="U1822" s="278"/>
      <c r="V1822" s="278"/>
      <c r="W1822" s="278"/>
    </row>
    <row r="1823" spans="1:23" s="269" customFormat="1" ht="20.25">
      <c r="A1823" s="267"/>
      <c r="B1823" s="275" t="s">
        <v>2437</v>
      </c>
      <c r="C1823" s="275" t="s">
        <v>3831</v>
      </c>
      <c r="D1823" s="168" t="s">
        <v>7494</v>
      </c>
      <c r="E1823" s="168" t="s">
        <v>2362</v>
      </c>
      <c r="F1823" s="168" t="s">
        <v>4623</v>
      </c>
      <c r="G1823" s="168" t="s">
        <v>4623</v>
      </c>
      <c r="H1823" s="292" t="s">
        <v>7495</v>
      </c>
      <c r="I1823" s="293" t="s">
        <v>7496</v>
      </c>
      <c r="J1823" s="293" t="s">
        <v>3328</v>
      </c>
      <c r="K1823" s="290" t="s">
        <v>4623</v>
      </c>
      <c r="L1823" s="290" t="s">
        <v>4623</v>
      </c>
      <c r="M1823" s="290" t="s">
        <v>4623</v>
      </c>
      <c r="N1823" s="290" t="s">
        <v>4623</v>
      </c>
      <c r="O1823" s="290" t="s">
        <v>4623</v>
      </c>
      <c r="P1823" s="290" t="s">
        <v>999</v>
      </c>
      <c r="Q1823" s="291" t="s">
        <v>4623</v>
      </c>
      <c r="R1823" s="276"/>
      <c r="S1823" s="277">
        <f>IF(OR(C1823="",C1823=T$4),NA(),MATCH($B1823&amp;$C1823,'Smelter Reference List'!$J:$J,0))</f>
        <v>442</v>
      </c>
      <c r="T1823" s="278"/>
      <c r="U1823" s="278"/>
      <c r="V1823" s="278"/>
      <c r="W1823" s="278"/>
    </row>
    <row r="1824" spans="1:23" s="269" customFormat="1" ht="20.25">
      <c r="A1824" s="267"/>
      <c r="B1824" s="275" t="s">
        <v>2437</v>
      </c>
      <c r="C1824" s="275" t="s">
        <v>3831</v>
      </c>
      <c r="D1824" s="168" t="s">
        <v>7497</v>
      </c>
      <c r="E1824" s="168" t="s">
        <v>2362</v>
      </c>
      <c r="F1824" s="168" t="s">
        <v>4623</v>
      </c>
      <c r="G1824" s="168" t="s">
        <v>4623</v>
      </c>
      <c r="H1824" s="292" t="s">
        <v>4623</v>
      </c>
      <c r="I1824" s="293" t="s">
        <v>4623</v>
      </c>
      <c r="J1824" s="293" t="s">
        <v>4623</v>
      </c>
      <c r="K1824" s="290" t="s">
        <v>4623</v>
      </c>
      <c r="L1824" s="290" t="s">
        <v>4623</v>
      </c>
      <c r="M1824" s="290" t="s">
        <v>4623</v>
      </c>
      <c r="N1824" s="290" t="s">
        <v>4623</v>
      </c>
      <c r="O1824" s="290" t="s">
        <v>4623</v>
      </c>
      <c r="P1824" s="290" t="s">
        <v>999</v>
      </c>
      <c r="Q1824" s="291" t="s">
        <v>4623</v>
      </c>
      <c r="R1824" s="276"/>
      <c r="S1824" s="277">
        <f>IF(OR(C1824="",C1824=T$4),NA(),MATCH($B1824&amp;$C1824,'Smelter Reference List'!$J:$J,0))</f>
        <v>442</v>
      </c>
      <c r="T1824" s="278"/>
      <c r="U1824" s="278"/>
      <c r="V1824" s="278"/>
      <c r="W1824" s="278"/>
    </row>
    <row r="1825" spans="1:23" s="269" customFormat="1" ht="20.25">
      <c r="A1825" s="267"/>
      <c r="B1825" s="275" t="s">
        <v>2437</v>
      </c>
      <c r="C1825" s="275" t="s">
        <v>3831</v>
      </c>
      <c r="D1825" s="168" t="s">
        <v>7498</v>
      </c>
      <c r="E1825" s="168" t="s">
        <v>2362</v>
      </c>
      <c r="F1825" s="168" t="s">
        <v>4623</v>
      </c>
      <c r="G1825" s="168" t="s">
        <v>4623</v>
      </c>
      <c r="H1825" s="292" t="s">
        <v>4623</v>
      </c>
      <c r="I1825" s="293" t="s">
        <v>4623</v>
      </c>
      <c r="J1825" s="293" t="s">
        <v>4623</v>
      </c>
      <c r="K1825" s="290" t="s">
        <v>4623</v>
      </c>
      <c r="L1825" s="290" t="s">
        <v>4623</v>
      </c>
      <c r="M1825" s="290" t="s">
        <v>4623</v>
      </c>
      <c r="N1825" s="290" t="s">
        <v>4623</v>
      </c>
      <c r="O1825" s="290" t="s">
        <v>4623</v>
      </c>
      <c r="P1825" s="290" t="s">
        <v>999</v>
      </c>
      <c r="Q1825" s="291" t="s">
        <v>4623</v>
      </c>
      <c r="R1825" s="276"/>
      <c r="S1825" s="277">
        <f>IF(OR(C1825="",C1825=T$4),NA(),MATCH($B1825&amp;$C1825,'Smelter Reference List'!$J:$J,0))</f>
        <v>442</v>
      </c>
      <c r="T1825" s="278"/>
      <c r="U1825" s="278"/>
      <c r="V1825" s="278"/>
      <c r="W1825" s="278"/>
    </row>
    <row r="1826" spans="1:23" s="269" customFormat="1" ht="20.25">
      <c r="A1826" s="267"/>
      <c r="B1826" s="275" t="s">
        <v>2437</v>
      </c>
      <c r="C1826" s="275" t="s">
        <v>3831</v>
      </c>
      <c r="D1826" s="168" t="s">
        <v>7499</v>
      </c>
      <c r="E1826" s="168" t="s">
        <v>2362</v>
      </c>
      <c r="F1826" s="168" t="s">
        <v>4623</v>
      </c>
      <c r="G1826" s="168" t="s">
        <v>4623</v>
      </c>
      <c r="H1826" s="292" t="s">
        <v>7500</v>
      </c>
      <c r="I1826" s="293" t="s">
        <v>7501</v>
      </c>
      <c r="J1826" s="293" t="s">
        <v>7502</v>
      </c>
      <c r="K1826" s="290" t="s">
        <v>4708</v>
      </c>
      <c r="L1826" s="290" t="s">
        <v>4708</v>
      </c>
      <c r="M1826" s="290" t="s">
        <v>4623</v>
      </c>
      <c r="N1826" s="290" t="s">
        <v>4623</v>
      </c>
      <c r="O1826" s="290" t="s">
        <v>4623</v>
      </c>
      <c r="P1826" s="290" t="s">
        <v>999</v>
      </c>
      <c r="Q1826" s="291" t="s">
        <v>4623</v>
      </c>
      <c r="R1826" s="276"/>
      <c r="S1826" s="277">
        <f>IF(OR(C1826="",C1826=T$4),NA(),MATCH($B1826&amp;$C1826,'Smelter Reference List'!$J:$J,0))</f>
        <v>442</v>
      </c>
      <c r="T1826" s="278"/>
      <c r="U1826" s="278"/>
      <c r="V1826" s="278"/>
      <c r="W1826" s="278"/>
    </row>
    <row r="1827" spans="1:23" s="269" customFormat="1" ht="20.25">
      <c r="A1827" s="267"/>
      <c r="B1827" s="275" t="s">
        <v>2437</v>
      </c>
      <c r="C1827" s="275" t="s">
        <v>3831</v>
      </c>
      <c r="D1827" s="168" t="s">
        <v>7503</v>
      </c>
      <c r="E1827" s="168" t="s">
        <v>2362</v>
      </c>
      <c r="F1827" s="168" t="s">
        <v>4623</v>
      </c>
      <c r="G1827" s="168" t="s">
        <v>4623</v>
      </c>
      <c r="H1827" s="292" t="s">
        <v>4623</v>
      </c>
      <c r="I1827" s="293" t="s">
        <v>4623</v>
      </c>
      <c r="J1827" s="293" t="s">
        <v>4623</v>
      </c>
      <c r="K1827" s="290" t="s">
        <v>4623</v>
      </c>
      <c r="L1827" s="290" t="s">
        <v>4623</v>
      </c>
      <c r="M1827" s="290" t="s">
        <v>4623</v>
      </c>
      <c r="N1827" s="290" t="s">
        <v>4623</v>
      </c>
      <c r="O1827" s="290" t="s">
        <v>4623</v>
      </c>
      <c r="P1827" s="290" t="s">
        <v>999</v>
      </c>
      <c r="Q1827" s="291" t="s">
        <v>4623</v>
      </c>
      <c r="R1827" s="276"/>
      <c r="S1827" s="277">
        <f>IF(OR(C1827="",C1827=T$4),NA(),MATCH($B1827&amp;$C1827,'Smelter Reference List'!$J:$J,0))</f>
        <v>442</v>
      </c>
      <c r="T1827" s="278"/>
      <c r="U1827" s="278"/>
      <c r="V1827" s="278"/>
      <c r="W1827" s="278"/>
    </row>
    <row r="1828" spans="1:23" s="269" customFormat="1" ht="20.25">
      <c r="A1828" s="267"/>
      <c r="B1828" s="275" t="s">
        <v>2437</v>
      </c>
      <c r="C1828" s="275" t="s">
        <v>3831</v>
      </c>
      <c r="D1828" s="168" t="s">
        <v>7504</v>
      </c>
      <c r="E1828" s="168" t="s">
        <v>2362</v>
      </c>
      <c r="F1828" s="168" t="s">
        <v>4623</v>
      </c>
      <c r="G1828" s="168" t="s">
        <v>4623</v>
      </c>
      <c r="H1828" s="292" t="s">
        <v>4623</v>
      </c>
      <c r="I1828" s="293" t="s">
        <v>4623</v>
      </c>
      <c r="J1828" s="293" t="s">
        <v>4623</v>
      </c>
      <c r="K1828" s="290" t="s">
        <v>4623</v>
      </c>
      <c r="L1828" s="290" t="s">
        <v>4623</v>
      </c>
      <c r="M1828" s="290" t="s">
        <v>4623</v>
      </c>
      <c r="N1828" s="290" t="s">
        <v>4623</v>
      </c>
      <c r="O1828" s="290" t="s">
        <v>4623</v>
      </c>
      <c r="P1828" s="290" t="s">
        <v>999</v>
      </c>
      <c r="Q1828" s="291" t="s">
        <v>4623</v>
      </c>
      <c r="R1828" s="276"/>
      <c r="S1828" s="277">
        <f>IF(OR(C1828="",C1828=T$4),NA(),MATCH($B1828&amp;$C1828,'Smelter Reference List'!$J:$J,0))</f>
        <v>442</v>
      </c>
      <c r="T1828" s="278"/>
      <c r="U1828" s="278"/>
      <c r="V1828" s="278"/>
      <c r="W1828" s="278"/>
    </row>
    <row r="1829" spans="1:23" s="269" customFormat="1" ht="20.25">
      <c r="A1829" s="267"/>
      <c r="B1829" s="275" t="s">
        <v>2437</v>
      </c>
      <c r="C1829" s="275" t="s">
        <v>3831</v>
      </c>
      <c r="D1829" s="168" t="s">
        <v>7505</v>
      </c>
      <c r="E1829" s="168" t="s">
        <v>2362</v>
      </c>
      <c r="F1829" s="168" t="s">
        <v>4623</v>
      </c>
      <c r="G1829" s="168" t="s">
        <v>4623</v>
      </c>
      <c r="H1829" s="292" t="s">
        <v>4623</v>
      </c>
      <c r="I1829" s="293" t="s">
        <v>4623</v>
      </c>
      <c r="J1829" s="293" t="s">
        <v>4623</v>
      </c>
      <c r="K1829" s="290" t="s">
        <v>4623</v>
      </c>
      <c r="L1829" s="290" t="s">
        <v>4623</v>
      </c>
      <c r="M1829" s="290" t="s">
        <v>4623</v>
      </c>
      <c r="N1829" s="290" t="s">
        <v>4623</v>
      </c>
      <c r="O1829" s="290" t="s">
        <v>4623</v>
      </c>
      <c r="P1829" s="290" t="s">
        <v>999</v>
      </c>
      <c r="Q1829" s="291" t="s">
        <v>4623</v>
      </c>
      <c r="R1829" s="276"/>
      <c r="S1829" s="277">
        <f>IF(OR(C1829="",C1829=T$4),NA(),MATCH($B1829&amp;$C1829,'Smelter Reference List'!$J:$J,0))</f>
        <v>442</v>
      </c>
      <c r="T1829" s="278"/>
      <c r="U1829" s="278"/>
      <c r="V1829" s="278"/>
      <c r="W1829" s="278"/>
    </row>
    <row r="1830" spans="1:23" s="269" customFormat="1" ht="20.25">
      <c r="A1830" s="267"/>
      <c r="B1830" s="275" t="s">
        <v>2437</v>
      </c>
      <c r="C1830" s="275" t="s">
        <v>3831</v>
      </c>
      <c r="D1830" s="168" t="s">
        <v>7506</v>
      </c>
      <c r="E1830" s="168" t="s">
        <v>2362</v>
      </c>
      <c r="F1830" s="168" t="s">
        <v>4623</v>
      </c>
      <c r="G1830" s="168" t="s">
        <v>4623</v>
      </c>
      <c r="H1830" s="292" t="s">
        <v>7507</v>
      </c>
      <c r="I1830" s="293" t="s">
        <v>7508</v>
      </c>
      <c r="J1830" s="293" t="s">
        <v>3462</v>
      </c>
      <c r="K1830" s="290" t="s">
        <v>4623</v>
      </c>
      <c r="L1830" s="290" t="s">
        <v>4623</v>
      </c>
      <c r="M1830" s="290" t="s">
        <v>4623</v>
      </c>
      <c r="N1830" s="290" t="s">
        <v>4623</v>
      </c>
      <c r="O1830" s="290" t="s">
        <v>4623</v>
      </c>
      <c r="P1830" s="290" t="s">
        <v>999</v>
      </c>
      <c r="Q1830" s="291" t="s">
        <v>4623</v>
      </c>
      <c r="R1830" s="276"/>
      <c r="S1830" s="277">
        <f>IF(OR(C1830="",C1830=T$4),NA(),MATCH($B1830&amp;$C1830,'Smelter Reference List'!$J:$J,0))</f>
        <v>442</v>
      </c>
      <c r="T1830" s="278"/>
      <c r="U1830" s="278"/>
      <c r="V1830" s="278"/>
      <c r="W1830" s="278"/>
    </row>
    <row r="1831" spans="1:23" s="269" customFormat="1" ht="20.25">
      <c r="A1831" s="267"/>
      <c r="B1831" s="275" t="s">
        <v>2437</v>
      </c>
      <c r="C1831" s="275" t="s">
        <v>3831</v>
      </c>
      <c r="D1831" s="168" t="s">
        <v>7509</v>
      </c>
      <c r="E1831" s="168" t="s">
        <v>2362</v>
      </c>
      <c r="F1831" s="168" t="s">
        <v>4623</v>
      </c>
      <c r="G1831" s="168" t="s">
        <v>4623</v>
      </c>
      <c r="H1831" s="292" t="s">
        <v>4623</v>
      </c>
      <c r="I1831" s="293" t="s">
        <v>4623</v>
      </c>
      <c r="J1831" s="293" t="s">
        <v>4623</v>
      </c>
      <c r="K1831" s="290" t="s">
        <v>4623</v>
      </c>
      <c r="L1831" s="290" t="s">
        <v>4623</v>
      </c>
      <c r="M1831" s="290" t="s">
        <v>4623</v>
      </c>
      <c r="N1831" s="290" t="s">
        <v>4623</v>
      </c>
      <c r="O1831" s="290" t="s">
        <v>4623</v>
      </c>
      <c r="P1831" s="290" t="s">
        <v>999</v>
      </c>
      <c r="Q1831" s="291" t="s">
        <v>4623</v>
      </c>
      <c r="R1831" s="276"/>
      <c r="S1831" s="277">
        <f>IF(OR(C1831="",C1831=T$4),NA(),MATCH($B1831&amp;$C1831,'Smelter Reference List'!$J:$J,0))</f>
        <v>442</v>
      </c>
      <c r="T1831" s="278"/>
      <c r="U1831" s="278"/>
      <c r="V1831" s="278"/>
      <c r="W1831" s="278"/>
    </row>
    <row r="1832" spans="1:23" s="269" customFormat="1" ht="20.25">
      <c r="A1832" s="267"/>
      <c r="B1832" s="275" t="s">
        <v>2437</v>
      </c>
      <c r="C1832" s="275" t="s">
        <v>3831</v>
      </c>
      <c r="D1832" s="168" t="s">
        <v>7510</v>
      </c>
      <c r="E1832" s="168" t="s">
        <v>2362</v>
      </c>
      <c r="F1832" s="168" t="s">
        <v>4623</v>
      </c>
      <c r="G1832" s="168" t="s">
        <v>4623</v>
      </c>
      <c r="H1832" s="292" t="s">
        <v>4623</v>
      </c>
      <c r="I1832" s="293" t="s">
        <v>4623</v>
      </c>
      <c r="J1832" s="293" t="s">
        <v>4623</v>
      </c>
      <c r="K1832" s="290" t="s">
        <v>4623</v>
      </c>
      <c r="L1832" s="290" t="s">
        <v>4623</v>
      </c>
      <c r="M1832" s="290" t="s">
        <v>4623</v>
      </c>
      <c r="N1832" s="290" t="s">
        <v>4623</v>
      </c>
      <c r="O1832" s="290" t="s">
        <v>4623</v>
      </c>
      <c r="P1832" s="290" t="s">
        <v>999</v>
      </c>
      <c r="Q1832" s="291" t="s">
        <v>4623</v>
      </c>
      <c r="R1832" s="276"/>
      <c r="S1832" s="277">
        <f>IF(OR(C1832="",C1832=T$4),NA(),MATCH($B1832&amp;$C1832,'Smelter Reference List'!$J:$J,0))</f>
        <v>442</v>
      </c>
      <c r="T1832" s="278"/>
      <c r="U1832" s="278"/>
      <c r="V1832" s="278"/>
      <c r="W1832" s="278"/>
    </row>
    <row r="1833" spans="1:23" s="269" customFormat="1" ht="20.25">
      <c r="A1833" s="267"/>
      <c r="B1833" s="275" t="s">
        <v>2437</v>
      </c>
      <c r="C1833" s="275" t="s">
        <v>3831</v>
      </c>
      <c r="D1833" s="168" t="s">
        <v>7511</v>
      </c>
      <c r="E1833" s="168" t="s">
        <v>2362</v>
      </c>
      <c r="F1833" s="168" t="s">
        <v>4623</v>
      </c>
      <c r="G1833" s="168" t="s">
        <v>4623</v>
      </c>
      <c r="H1833" s="292" t="s">
        <v>4623</v>
      </c>
      <c r="I1833" s="293" t="s">
        <v>4623</v>
      </c>
      <c r="J1833" s="293" t="s">
        <v>4623</v>
      </c>
      <c r="K1833" s="290" t="s">
        <v>4623</v>
      </c>
      <c r="L1833" s="290" t="s">
        <v>4623</v>
      </c>
      <c r="M1833" s="290" t="s">
        <v>4623</v>
      </c>
      <c r="N1833" s="290" t="s">
        <v>4623</v>
      </c>
      <c r="O1833" s="290" t="s">
        <v>4623</v>
      </c>
      <c r="P1833" s="290" t="s">
        <v>999</v>
      </c>
      <c r="Q1833" s="291" t="s">
        <v>4623</v>
      </c>
      <c r="R1833" s="276"/>
      <c r="S1833" s="277">
        <f>IF(OR(C1833="",C1833=T$4),NA(),MATCH($B1833&amp;$C1833,'Smelter Reference List'!$J:$J,0))</f>
        <v>442</v>
      </c>
      <c r="T1833" s="278"/>
      <c r="U1833" s="278"/>
      <c r="V1833" s="278"/>
      <c r="W1833" s="278"/>
    </row>
    <row r="1834" spans="1:23" s="269" customFormat="1" ht="20.25">
      <c r="A1834" s="267"/>
      <c r="B1834" s="275" t="s">
        <v>2437</v>
      </c>
      <c r="C1834" s="275" t="s">
        <v>3831</v>
      </c>
      <c r="D1834" s="168" t="s">
        <v>7512</v>
      </c>
      <c r="E1834" s="168" t="s">
        <v>2362</v>
      </c>
      <c r="F1834" s="168" t="s">
        <v>4623</v>
      </c>
      <c r="G1834" s="168" t="s">
        <v>4623</v>
      </c>
      <c r="H1834" s="292" t="s">
        <v>4623</v>
      </c>
      <c r="I1834" s="293" t="s">
        <v>4623</v>
      </c>
      <c r="J1834" s="293" t="s">
        <v>4623</v>
      </c>
      <c r="K1834" s="290" t="s">
        <v>4623</v>
      </c>
      <c r="L1834" s="290" t="s">
        <v>4623</v>
      </c>
      <c r="M1834" s="290" t="s">
        <v>4623</v>
      </c>
      <c r="N1834" s="290" t="s">
        <v>4623</v>
      </c>
      <c r="O1834" s="290" t="s">
        <v>4623</v>
      </c>
      <c r="P1834" s="290" t="s">
        <v>999</v>
      </c>
      <c r="Q1834" s="291" t="s">
        <v>4623</v>
      </c>
      <c r="R1834" s="276"/>
      <c r="S1834" s="277">
        <f>IF(OR(C1834="",C1834=T$4),NA(),MATCH($B1834&amp;$C1834,'Smelter Reference List'!$J:$J,0))</f>
        <v>442</v>
      </c>
      <c r="T1834" s="278"/>
      <c r="U1834" s="278"/>
      <c r="V1834" s="278"/>
      <c r="W1834" s="278"/>
    </row>
    <row r="1835" spans="1:23" s="269" customFormat="1" ht="20.25">
      <c r="A1835" s="267"/>
      <c r="B1835" s="275" t="s">
        <v>2437</v>
      </c>
      <c r="C1835" s="275" t="s">
        <v>3831</v>
      </c>
      <c r="D1835" s="168" t="s">
        <v>7513</v>
      </c>
      <c r="E1835" s="168" t="s">
        <v>2362</v>
      </c>
      <c r="F1835" s="168" t="s">
        <v>4623</v>
      </c>
      <c r="G1835" s="168" t="s">
        <v>4623</v>
      </c>
      <c r="H1835" s="292" t="s">
        <v>4623</v>
      </c>
      <c r="I1835" s="293" t="s">
        <v>4623</v>
      </c>
      <c r="J1835" s="293" t="s">
        <v>4623</v>
      </c>
      <c r="K1835" s="290" t="s">
        <v>4623</v>
      </c>
      <c r="L1835" s="290" t="s">
        <v>4623</v>
      </c>
      <c r="M1835" s="290" t="s">
        <v>4623</v>
      </c>
      <c r="N1835" s="290" t="s">
        <v>4623</v>
      </c>
      <c r="O1835" s="290" t="s">
        <v>4623</v>
      </c>
      <c r="P1835" s="290" t="s">
        <v>999</v>
      </c>
      <c r="Q1835" s="291" t="s">
        <v>4623</v>
      </c>
      <c r="R1835" s="276"/>
      <c r="S1835" s="277">
        <f>IF(OR(C1835="",C1835=T$4),NA(),MATCH($B1835&amp;$C1835,'Smelter Reference List'!$J:$J,0))</f>
        <v>442</v>
      </c>
      <c r="T1835" s="278"/>
      <c r="U1835" s="278"/>
      <c r="V1835" s="278"/>
      <c r="W1835" s="278"/>
    </row>
    <row r="1836" spans="1:23" s="269" customFormat="1" ht="20.25">
      <c r="A1836" s="267"/>
      <c r="B1836" s="275" t="s">
        <v>2437</v>
      </c>
      <c r="C1836" s="275" t="s">
        <v>3831</v>
      </c>
      <c r="D1836" s="168" t="s">
        <v>7514</v>
      </c>
      <c r="E1836" s="168" t="s">
        <v>2362</v>
      </c>
      <c r="F1836" s="168" t="s">
        <v>4623</v>
      </c>
      <c r="G1836" s="168" t="s">
        <v>4623</v>
      </c>
      <c r="H1836" s="292" t="s">
        <v>4623</v>
      </c>
      <c r="I1836" s="293" t="s">
        <v>4623</v>
      </c>
      <c r="J1836" s="293" t="s">
        <v>4623</v>
      </c>
      <c r="K1836" s="290" t="s">
        <v>4623</v>
      </c>
      <c r="L1836" s="290" t="s">
        <v>4623</v>
      </c>
      <c r="M1836" s="290" t="s">
        <v>4623</v>
      </c>
      <c r="N1836" s="290" t="s">
        <v>4623</v>
      </c>
      <c r="O1836" s="290" t="s">
        <v>4623</v>
      </c>
      <c r="P1836" s="290" t="s">
        <v>999</v>
      </c>
      <c r="Q1836" s="291" t="s">
        <v>4623</v>
      </c>
      <c r="R1836" s="276"/>
      <c r="S1836" s="277">
        <f>IF(OR(C1836="",C1836=T$4),NA(),MATCH($B1836&amp;$C1836,'Smelter Reference List'!$J:$J,0))</f>
        <v>442</v>
      </c>
      <c r="T1836" s="278"/>
      <c r="U1836" s="278"/>
      <c r="V1836" s="278"/>
      <c r="W1836" s="278"/>
    </row>
    <row r="1837" spans="1:23" s="269" customFormat="1" ht="20.25">
      <c r="A1837" s="267"/>
      <c r="B1837" s="275" t="s">
        <v>2437</v>
      </c>
      <c r="C1837" s="275" t="s">
        <v>3831</v>
      </c>
      <c r="D1837" s="168" t="s">
        <v>6941</v>
      </c>
      <c r="E1837" s="168" t="s">
        <v>2362</v>
      </c>
      <c r="F1837" s="168" t="s">
        <v>4623</v>
      </c>
      <c r="G1837" s="168" t="s">
        <v>4623</v>
      </c>
      <c r="H1837" s="292" t="s">
        <v>4623</v>
      </c>
      <c r="I1837" s="293" t="s">
        <v>4623</v>
      </c>
      <c r="J1837" s="293" t="s">
        <v>4623</v>
      </c>
      <c r="K1837" s="290" t="s">
        <v>4623</v>
      </c>
      <c r="L1837" s="290" t="s">
        <v>4623</v>
      </c>
      <c r="M1837" s="290" t="s">
        <v>4623</v>
      </c>
      <c r="N1837" s="290" t="s">
        <v>4623</v>
      </c>
      <c r="O1837" s="290" t="s">
        <v>4623</v>
      </c>
      <c r="P1837" s="290" t="s">
        <v>999</v>
      </c>
      <c r="Q1837" s="291" t="s">
        <v>4623</v>
      </c>
      <c r="R1837" s="276"/>
      <c r="S1837" s="277">
        <f>IF(OR(C1837="",C1837=T$4),NA(),MATCH($B1837&amp;$C1837,'Smelter Reference List'!$J:$J,0))</f>
        <v>442</v>
      </c>
      <c r="T1837" s="278"/>
      <c r="U1837" s="278"/>
      <c r="V1837" s="278"/>
      <c r="W1837" s="278"/>
    </row>
    <row r="1838" spans="1:23" s="269" customFormat="1" ht="20.25">
      <c r="A1838" s="267"/>
      <c r="B1838" s="275" t="s">
        <v>2437</v>
      </c>
      <c r="C1838" s="275" t="s">
        <v>3831</v>
      </c>
      <c r="D1838" s="168" t="s">
        <v>6517</v>
      </c>
      <c r="E1838" s="168" t="s">
        <v>2402</v>
      </c>
      <c r="F1838" s="168" t="s">
        <v>4623</v>
      </c>
      <c r="G1838" s="168" t="s">
        <v>4623</v>
      </c>
      <c r="H1838" s="292" t="s">
        <v>4623</v>
      </c>
      <c r="I1838" s="293" t="s">
        <v>4623</v>
      </c>
      <c r="J1838" s="293" t="s">
        <v>4623</v>
      </c>
      <c r="K1838" s="290" t="s">
        <v>4623</v>
      </c>
      <c r="L1838" s="290" t="s">
        <v>4623</v>
      </c>
      <c r="M1838" s="290" t="s">
        <v>4623</v>
      </c>
      <c r="N1838" s="290" t="s">
        <v>4623</v>
      </c>
      <c r="O1838" s="290" t="s">
        <v>4623</v>
      </c>
      <c r="P1838" s="290" t="s">
        <v>999</v>
      </c>
      <c r="Q1838" s="291" t="s">
        <v>4623</v>
      </c>
      <c r="R1838" s="276"/>
      <c r="S1838" s="277">
        <f>IF(OR(C1838="",C1838=T$4),NA(),MATCH($B1838&amp;$C1838,'Smelter Reference List'!$J:$J,0))</f>
        <v>442</v>
      </c>
      <c r="T1838" s="278"/>
      <c r="U1838" s="278"/>
      <c r="V1838" s="278"/>
      <c r="W1838" s="278"/>
    </row>
    <row r="1839" spans="1:23" s="269" customFormat="1" ht="20.25">
      <c r="A1839" s="267"/>
      <c r="B1839" s="275" t="s">
        <v>2437</v>
      </c>
      <c r="C1839" s="275" t="s">
        <v>3831</v>
      </c>
      <c r="D1839" s="168" t="s">
        <v>7516</v>
      </c>
      <c r="E1839" s="168" t="s">
        <v>2402</v>
      </c>
      <c r="F1839" s="168" t="s">
        <v>4623</v>
      </c>
      <c r="G1839" s="168" t="s">
        <v>4623</v>
      </c>
      <c r="H1839" s="292" t="s">
        <v>4623</v>
      </c>
      <c r="I1839" s="293" t="s">
        <v>4623</v>
      </c>
      <c r="J1839" s="293" t="s">
        <v>4623</v>
      </c>
      <c r="K1839" s="290" t="s">
        <v>4623</v>
      </c>
      <c r="L1839" s="290" t="s">
        <v>4623</v>
      </c>
      <c r="M1839" s="290" t="s">
        <v>4623</v>
      </c>
      <c r="N1839" s="290" t="s">
        <v>4623</v>
      </c>
      <c r="O1839" s="290" t="s">
        <v>4623</v>
      </c>
      <c r="P1839" s="290" t="s">
        <v>999</v>
      </c>
      <c r="Q1839" s="291" t="s">
        <v>6668</v>
      </c>
      <c r="R1839" s="276"/>
      <c r="S1839" s="277">
        <f>IF(OR(C1839="",C1839=T$4),NA(),MATCH($B1839&amp;$C1839,'Smelter Reference List'!$J:$J,0))</f>
        <v>442</v>
      </c>
      <c r="T1839" s="278"/>
      <c r="U1839" s="278"/>
      <c r="V1839" s="278"/>
      <c r="W1839" s="278"/>
    </row>
    <row r="1840" spans="1:23" s="269" customFormat="1" ht="20.25">
      <c r="A1840" s="267"/>
      <c r="B1840" s="275" t="s">
        <v>2437</v>
      </c>
      <c r="C1840" s="275" t="s">
        <v>3831</v>
      </c>
      <c r="D1840" s="168" t="s">
        <v>5762</v>
      </c>
      <c r="E1840" s="168" t="s">
        <v>2402</v>
      </c>
      <c r="F1840" s="168" t="s">
        <v>4623</v>
      </c>
      <c r="G1840" s="168" t="s">
        <v>4623</v>
      </c>
      <c r="H1840" s="292" t="s">
        <v>4623</v>
      </c>
      <c r="I1840" s="293" t="s">
        <v>3698</v>
      </c>
      <c r="J1840" s="293" t="s">
        <v>4623</v>
      </c>
      <c r="K1840" s="290" t="s">
        <v>4623</v>
      </c>
      <c r="L1840" s="290" t="s">
        <v>4623</v>
      </c>
      <c r="M1840" s="290" t="s">
        <v>7517</v>
      </c>
      <c r="N1840" s="290" t="s">
        <v>7518</v>
      </c>
      <c r="O1840" s="290" t="s">
        <v>4623</v>
      </c>
      <c r="P1840" s="290" t="s">
        <v>999</v>
      </c>
      <c r="Q1840" s="291" t="s">
        <v>4623</v>
      </c>
      <c r="R1840" s="276"/>
      <c r="S1840" s="277">
        <f>IF(OR(C1840="",C1840=T$4),NA(),MATCH($B1840&amp;$C1840,'Smelter Reference List'!$J:$J,0))</f>
        <v>442</v>
      </c>
      <c r="T1840" s="278"/>
      <c r="U1840" s="278"/>
      <c r="V1840" s="278"/>
      <c r="W1840" s="278"/>
    </row>
    <row r="1841" spans="1:23" s="269" customFormat="1" ht="20.25">
      <c r="A1841" s="267"/>
      <c r="B1841" s="275" t="s">
        <v>2437</v>
      </c>
      <c r="C1841" s="275" t="s">
        <v>3831</v>
      </c>
      <c r="D1841" s="168" t="s">
        <v>7519</v>
      </c>
      <c r="E1841" s="168" t="s">
        <v>2402</v>
      </c>
      <c r="F1841" s="168" t="s">
        <v>4623</v>
      </c>
      <c r="G1841" s="168" t="s">
        <v>4623</v>
      </c>
      <c r="H1841" s="292" t="s">
        <v>4623</v>
      </c>
      <c r="I1841" s="293" t="s">
        <v>4623</v>
      </c>
      <c r="J1841" s="293" t="s">
        <v>4623</v>
      </c>
      <c r="K1841" s="290" t="s">
        <v>4623</v>
      </c>
      <c r="L1841" s="290" t="s">
        <v>4623</v>
      </c>
      <c r="M1841" s="290" t="s">
        <v>4623</v>
      </c>
      <c r="N1841" s="290" t="s">
        <v>4623</v>
      </c>
      <c r="O1841" s="290" t="s">
        <v>4623</v>
      </c>
      <c r="P1841" s="290" t="s">
        <v>999</v>
      </c>
      <c r="Q1841" s="291" t="s">
        <v>4623</v>
      </c>
      <c r="R1841" s="276"/>
      <c r="S1841" s="277">
        <f>IF(OR(C1841="",C1841=T$4),NA(),MATCH($B1841&amp;$C1841,'Smelter Reference List'!$J:$J,0))</f>
        <v>442</v>
      </c>
      <c r="T1841" s="278"/>
      <c r="U1841" s="278"/>
      <c r="V1841" s="278"/>
      <c r="W1841" s="278"/>
    </row>
    <row r="1842" spans="1:23" s="269" customFormat="1" ht="20.25">
      <c r="A1842" s="267"/>
      <c r="B1842" s="275" t="s">
        <v>2437</v>
      </c>
      <c r="C1842" s="275" t="s">
        <v>3831</v>
      </c>
      <c r="D1842" s="168" t="s">
        <v>7520</v>
      </c>
      <c r="E1842" s="168" t="s">
        <v>2402</v>
      </c>
      <c r="F1842" s="168" t="s">
        <v>4623</v>
      </c>
      <c r="G1842" s="168" t="s">
        <v>4623</v>
      </c>
      <c r="H1842" s="292" t="s">
        <v>7521</v>
      </c>
      <c r="I1842" s="293" t="s">
        <v>7522</v>
      </c>
      <c r="J1842" s="293" t="s">
        <v>4580</v>
      </c>
      <c r="K1842" s="290" t="s">
        <v>7523</v>
      </c>
      <c r="L1842" s="290" t="s">
        <v>7524</v>
      </c>
      <c r="M1842" s="290" t="s">
        <v>4623</v>
      </c>
      <c r="N1842" s="290" t="s">
        <v>4623</v>
      </c>
      <c r="O1842" s="290" t="s">
        <v>4623</v>
      </c>
      <c r="P1842" s="290" t="s">
        <v>999</v>
      </c>
      <c r="Q1842" s="291" t="s">
        <v>4623</v>
      </c>
      <c r="R1842" s="276"/>
      <c r="S1842" s="277">
        <f>IF(OR(C1842="",C1842=T$4),NA(),MATCH($B1842&amp;$C1842,'Smelter Reference List'!$J:$J,0))</f>
        <v>442</v>
      </c>
      <c r="T1842" s="278"/>
      <c r="U1842" s="278"/>
      <c r="V1842" s="278"/>
      <c r="W1842" s="278"/>
    </row>
    <row r="1843" spans="1:23" s="269" customFormat="1" ht="20.25">
      <c r="A1843" s="267"/>
      <c r="B1843" s="275" t="s">
        <v>2437</v>
      </c>
      <c r="C1843" s="275" t="s">
        <v>3831</v>
      </c>
      <c r="D1843" s="168" t="s">
        <v>7525</v>
      </c>
      <c r="E1843" s="168" t="s">
        <v>2402</v>
      </c>
      <c r="F1843" s="168" t="s">
        <v>4623</v>
      </c>
      <c r="G1843" s="168" t="s">
        <v>4623</v>
      </c>
      <c r="H1843" s="292" t="s">
        <v>4623</v>
      </c>
      <c r="I1843" s="293" t="s">
        <v>4623</v>
      </c>
      <c r="J1843" s="293" t="s">
        <v>4623</v>
      </c>
      <c r="K1843" s="290" t="s">
        <v>4623</v>
      </c>
      <c r="L1843" s="290" t="s">
        <v>4623</v>
      </c>
      <c r="M1843" s="290" t="s">
        <v>6377</v>
      </c>
      <c r="N1843" s="290" t="s">
        <v>5000</v>
      </c>
      <c r="O1843" s="290" t="s">
        <v>5000</v>
      </c>
      <c r="P1843" s="290" t="s">
        <v>999</v>
      </c>
      <c r="Q1843" s="291" t="s">
        <v>4623</v>
      </c>
      <c r="R1843" s="276"/>
      <c r="S1843" s="277">
        <f>IF(OR(C1843="",C1843=T$4),NA(),MATCH($B1843&amp;$C1843,'Smelter Reference List'!$J:$J,0))</f>
        <v>442</v>
      </c>
      <c r="T1843" s="278"/>
      <c r="U1843" s="278"/>
      <c r="V1843" s="278"/>
      <c r="W1843" s="278"/>
    </row>
    <row r="1844" spans="1:23" s="269" customFormat="1" ht="20.25">
      <c r="A1844" s="267"/>
      <c r="B1844" s="275" t="s">
        <v>2437</v>
      </c>
      <c r="C1844" s="275" t="s">
        <v>3831</v>
      </c>
      <c r="D1844" s="168" t="s">
        <v>5763</v>
      </c>
      <c r="E1844" s="168" t="s">
        <v>2402</v>
      </c>
      <c r="F1844" s="168" t="s">
        <v>4623</v>
      </c>
      <c r="G1844" s="168" t="s">
        <v>4623</v>
      </c>
      <c r="H1844" s="292" t="s">
        <v>4623</v>
      </c>
      <c r="I1844" s="293" t="s">
        <v>4623</v>
      </c>
      <c r="J1844" s="293" t="s">
        <v>4623</v>
      </c>
      <c r="K1844" s="290" t="s">
        <v>4623</v>
      </c>
      <c r="L1844" s="290" t="s">
        <v>4623</v>
      </c>
      <c r="M1844" s="290" t="s">
        <v>4623</v>
      </c>
      <c r="N1844" s="290" t="s">
        <v>4623</v>
      </c>
      <c r="O1844" s="290" t="s">
        <v>4623</v>
      </c>
      <c r="P1844" s="290" t="s">
        <v>999</v>
      </c>
      <c r="Q1844" s="291" t="s">
        <v>4623</v>
      </c>
      <c r="R1844" s="276"/>
      <c r="S1844" s="277">
        <f>IF(OR(C1844="",C1844=T$4),NA(),MATCH($B1844&amp;$C1844,'Smelter Reference List'!$J:$J,0))</f>
        <v>442</v>
      </c>
      <c r="T1844" s="278"/>
      <c r="U1844" s="278"/>
      <c r="V1844" s="278"/>
      <c r="W1844" s="278"/>
    </row>
    <row r="1845" spans="1:23" s="269" customFormat="1" ht="20.25">
      <c r="A1845" s="267"/>
      <c r="B1845" s="275" t="s">
        <v>2437</v>
      </c>
      <c r="C1845" s="275" t="s">
        <v>3831</v>
      </c>
      <c r="D1845" s="168" t="s">
        <v>7397</v>
      </c>
      <c r="E1845" s="168" t="s">
        <v>2402</v>
      </c>
      <c r="F1845" s="168" t="s">
        <v>4623</v>
      </c>
      <c r="G1845" s="168" t="s">
        <v>4623</v>
      </c>
      <c r="H1845" s="292" t="s">
        <v>4623</v>
      </c>
      <c r="I1845" s="293" t="s">
        <v>4623</v>
      </c>
      <c r="J1845" s="293" t="s">
        <v>4623</v>
      </c>
      <c r="K1845" s="290" t="s">
        <v>4623</v>
      </c>
      <c r="L1845" s="290" t="s">
        <v>4623</v>
      </c>
      <c r="M1845" s="290" t="s">
        <v>6377</v>
      </c>
      <c r="N1845" s="290" t="s">
        <v>5000</v>
      </c>
      <c r="O1845" s="290" t="s">
        <v>5000</v>
      </c>
      <c r="P1845" s="290" t="s">
        <v>999</v>
      </c>
      <c r="Q1845" s="291" t="s">
        <v>4623</v>
      </c>
      <c r="R1845" s="276"/>
      <c r="S1845" s="277">
        <f>IF(OR(C1845="",C1845=T$4),NA(),MATCH($B1845&amp;$C1845,'Smelter Reference List'!$J:$J,0))</f>
        <v>442</v>
      </c>
      <c r="T1845" s="278"/>
      <c r="U1845" s="278"/>
      <c r="V1845" s="278"/>
      <c r="W1845" s="278"/>
    </row>
    <row r="1846" spans="1:23" s="269" customFormat="1" ht="20.25">
      <c r="A1846" s="267"/>
      <c r="B1846" s="275" t="s">
        <v>2437</v>
      </c>
      <c r="C1846" s="275" t="s">
        <v>3831</v>
      </c>
      <c r="D1846" s="168" t="s">
        <v>7526</v>
      </c>
      <c r="E1846" s="168" t="s">
        <v>2402</v>
      </c>
      <c r="F1846" s="168" t="s">
        <v>4623</v>
      </c>
      <c r="G1846" s="168" t="s">
        <v>4623</v>
      </c>
      <c r="H1846" s="292" t="s">
        <v>4623</v>
      </c>
      <c r="I1846" s="293" t="s">
        <v>4623</v>
      </c>
      <c r="J1846" s="293" t="s">
        <v>4623</v>
      </c>
      <c r="K1846" s="290" t="s">
        <v>4623</v>
      </c>
      <c r="L1846" s="290" t="s">
        <v>4623</v>
      </c>
      <c r="M1846" s="290" t="s">
        <v>4623</v>
      </c>
      <c r="N1846" s="290" t="s">
        <v>4623</v>
      </c>
      <c r="O1846" s="290" t="s">
        <v>4623</v>
      </c>
      <c r="P1846" s="290" t="s">
        <v>999</v>
      </c>
      <c r="Q1846" s="291" t="s">
        <v>4623</v>
      </c>
      <c r="R1846" s="276"/>
      <c r="S1846" s="277">
        <f>IF(OR(C1846="",C1846=T$4),NA(),MATCH($B1846&amp;$C1846,'Smelter Reference List'!$J:$J,0))</f>
        <v>442</v>
      </c>
      <c r="T1846" s="278"/>
      <c r="U1846" s="278"/>
      <c r="V1846" s="278"/>
      <c r="W1846" s="278"/>
    </row>
    <row r="1847" spans="1:23" s="269" customFormat="1" ht="20.25">
      <c r="A1847" s="267"/>
      <c r="B1847" s="275" t="s">
        <v>2437</v>
      </c>
      <c r="C1847" s="275" t="s">
        <v>3831</v>
      </c>
      <c r="D1847" s="168" t="s">
        <v>7527</v>
      </c>
      <c r="E1847" s="168" t="s">
        <v>2402</v>
      </c>
      <c r="F1847" s="168" t="s">
        <v>4623</v>
      </c>
      <c r="G1847" s="168" t="s">
        <v>4623</v>
      </c>
      <c r="H1847" s="292" t="s">
        <v>4623</v>
      </c>
      <c r="I1847" s="293" t="s">
        <v>4623</v>
      </c>
      <c r="J1847" s="293" t="s">
        <v>4623</v>
      </c>
      <c r="K1847" s="290" t="s">
        <v>4623</v>
      </c>
      <c r="L1847" s="290" t="s">
        <v>4623</v>
      </c>
      <c r="M1847" s="290" t="s">
        <v>4623</v>
      </c>
      <c r="N1847" s="290" t="s">
        <v>4623</v>
      </c>
      <c r="O1847" s="290" t="s">
        <v>4623</v>
      </c>
      <c r="P1847" s="290" t="s">
        <v>999</v>
      </c>
      <c r="Q1847" s="291" t="s">
        <v>4623</v>
      </c>
      <c r="R1847" s="276"/>
      <c r="S1847" s="277">
        <f>IF(OR(C1847="",C1847=T$4),NA(),MATCH($B1847&amp;$C1847,'Smelter Reference List'!$J:$J,0))</f>
        <v>442</v>
      </c>
      <c r="T1847" s="278"/>
      <c r="U1847" s="278"/>
      <c r="V1847" s="278"/>
      <c r="W1847" s="278"/>
    </row>
    <row r="1848" spans="1:23" s="269" customFormat="1" ht="20.25">
      <c r="A1848" s="267"/>
      <c r="B1848" s="275" t="s">
        <v>2437</v>
      </c>
      <c r="C1848" s="275" t="s">
        <v>3831</v>
      </c>
      <c r="D1848" s="168" t="s">
        <v>7528</v>
      </c>
      <c r="E1848" s="168" t="s">
        <v>2402</v>
      </c>
      <c r="F1848" s="168" t="s">
        <v>4623</v>
      </c>
      <c r="G1848" s="168" t="s">
        <v>4623</v>
      </c>
      <c r="H1848" s="292" t="s">
        <v>4623</v>
      </c>
      <c r="I1848" s="293" t="s">
        <v>4623</v>
      </c>
      <c r="J1848" s="293" t="s">
        <v>4623</v>
      </c>
      <c r="K1848" s="290" t="s">
        <v>4623</v>
      </c>
      <c r="L1848" s="290" t="s">
        <v>4623</v>
      </c>
      <c r="M1848" s="290" t="s">
        <v>4623</v>
      </c>
      <c r="N1848" s="290" t="s">
        <v>4623</v>
      </c>
      <c r="O1848" s="290" t="s">
        <v>4623</v>
      </c>
      <c r="P1848" s="290" t="s">
        <v>999</v>
      </c>
      <c r="Q1848" s="291" t="s">
        <v>4623</v>
      </c>
      <c r="R1848" s="276"/>
      <c r="S1848" s="277">
        <f>IF(OR(C1848="",C1848=T$4),NA(),MATCH($B1848&amp;$C1848,'Smelter Reference List'!$J:$J,0))</f>
        <v>442</v>
      </c>
      <c r="T1848" s="278"/>
      <c r="U1848" s="278"/>
      <c r="V1848" s="278"/>
      <c r="W1848" s="278"/>
    </row>
    <row r="1849" spans="1:23" s="269" customFormat="1" ht="20.25">
      <c r="A1849" s="267"/>
      <c r="B1849" s="275" t="s">
        <v>2437</v>
      </c>
      <c r="C1849" s="275" t="s">
        <v>3831</v>
      </c>
      <c r="D1849" s="168" t="s">
        <v>7031</v>
      </c>
      <c r="E1849" s="168" t="s">
        <v>2402</v>
      </c>
      <c r="F1849" s="168" t="s">
        <v>4623</v>
      </c>
      <c r="G1849" s="168" t="s">
        <v>4623</v>
      </c>
      <c r="H1849" s="292" t="s">
        <v>4623</v>
      </c>
      <c r="I1849" s="293" t="s">
        <v>4623</v>
      </c>
      <c r="J1849" s="293" t="s">
        <v>4623</v>
      </c>
      <c r="K1849" s="290" t="s">
        <v>4623</v>
      </c>
      <c r="L1849" s="290" t="s">
        <v>4623</v>
      </c>
      <c r="M1849" s="290" t="s">
        <v>4623</v>
      </c>
      <c r="N1849" s="290" t="s">
        <v>4623</v>
      </c>
      <c r="O1849" s="290" t="s">
        <v>4623</v>
      </c>
      <c r="P1849" s="290" t="s">
        <v>999</v>
      </c>
      <c r="Q1849" s="291" t="s">
        <v>4623</v>
      </c>
      <c r="R1849" s="276"/>
      <c r="S1849" s="277">
        <f>IF(OR(C1849="",C1849=T$4),NA(),MATCH($B1849&amp;$C1849,'Smelter Reference List'!$J:$J,0))</f>
        <v>442</v>
      </c>
      <c r="T1849" s="278"/>
      <c r="U1849" s="278"/>
      <c r="V1849" s="278"/>
      <c r="W1849" s="278"/>
    </row>
    <row r="1850" spans="1:23" s="269" customFormat="1" ht="20.25">
      <c r="A1850" s="267"/>
      <c r="B1850" s="275" t="s">
        <v>2437</v>
      </c>
      <c r="C1850" s="275" t="s">
        <v>3831</v>
      </c>
      <c r="D1850" s="168" t="s">
        <v>7529</v>
      </c>
      <c r="E1850" s="168" t="s">
        <v>2402</v>
      </c>
      <c r="F1850" s="168" t="s">
        <v>4623</v>
      </c>
      <c r="G1850" s="168" t="s">
        <v>4623</v>
      </c>
      <c r="H1850" s="292" t="s">
        <v>4623</v>
      </c>
      <c r="I1850" s="293" t="s">
        <v>4623</v>
      </c>
      <c r="J1850" s="293" t="s">
        <v>4623</v>
      </c>
      <c r="K1850" s="290" t="s">
        <v>4623</v>
      </c>
      <c r="L1850" s="290" t="s">
        <v>4623</v>
      </c>
      <c r="M1850" s="290" t="s">
        <v>4623</v>
      </c>
      <c r="N1850" s="290" t="s">
        <v>4623</v>
      </c>
      <c r="O1850" s="290" t="s">
        <v>4623</v>
      </c>
      <c r="P1850" s="290" t="s">
        <v>999</v>
      </c>
      <c r="Q1850" s="291" t="s">
        <v>4623</v>
      </c>
      <c r="R1850" s="276"/>
      <c r="S1850" s="277">
        <f>IF(OR(C1850="",C1850=T$4),NA(),MATCH($B1850&amp;$C1850,'Smelter Reference List'!$J:$J,0))</f>
        <v>442</v>
      </c>
      <c r="T1850" s="278"/>
      <c r="U1850" s="278"/>
      <c r="V1850" s="278"/>
      <c r="W1850" s="278"/>
    </row>
    <row r="1851" spans="1:23" s="269" customFormat="1" ht="20.25">
      <c r="A1851" s="267"/>
      <c r="B1851" s="275" t="s">
        <v>2437</v>
      </c>
      <c r="C1851" s="275" t="s">
        <v>3831</v>
      </c>
      <c r="D1851" s="168" t="s">
        <v>7530</v>
      </c>
      <c r="E1851" s="168" t="s">
        <v>2402</v>
      </c>
      <c r="F1851" s="168" t="s">
        <v>4623</v>
      </c>
      <c r="G1851" s="168" t="s">
        <v>4623</v>
      </c>
      <c r="H1851" s="292" t="s">
        <v>7518</v>
      </c>
      <c r="I1851" s="293" t="s">
        <v>7531</v>
      </c>
      <c r="J1851" s="293" t="s">
        <v>4623</v>
      </c>
      <c r="K1851" s="290" t="s">
        <v>4623</v>
      </c>
      <c r="L1851" s="290" t="s">
        <v>7518</v>
      </c>
      <c r="M1851" s="290" t="s">
        <v>7518</v>
      </c>
      <c r="N1851" s="290" t="s">
        <v>4623</v>
      </c>
      <c r="O1851" s="290" t="s">
        <v>4623</v>
      </c>
      <c r="P1851" s="290" t="s">
        <v>999</v>
      </c>
      <c r="Q1851" s="291" t="s">
        <v>4623</v>
      </c>
      <c r="R1851" s="276"/>
      <c r="S1851" s="277">
        <f>IF(OR(C1851="",C1851=T$4),NA(),MATCH($B1851&amp;$C1851,'Smelter Reference List'!$J:$J,0))</f>
        <v>442</v>
      </c>
      <c r="T1851" s="278"/>
      <c r="U1851" s="278"/>
      <c r="V1851" s="278"/>
      <c r="W1851" s="278"/>
    </row>
    <row r="1852" spans="1:23" s="269" customFormat="1" ht="20.25">
      <c r="A1852" s="267"/>
      <c r="B1852" s="275" t="s">
        <v>2437</v>
      </c>
      <c r="C1852" s="275" t="s">
        <v>3831</v>
      </c>
      <c r="D1852" s="168" t="s">
        <v>7419</v>
      </c>
      <c r="E1852" s="168" t="s">
        <v>2402</v>
      </c>
      <c r="F1852" s="168" t="s">
        <v>4623</v>
      </c>
      <c r="G1852" s="168" t="s">
        <v>4623</v>
      </c>
      <c r="H1852" s="292" t="s">
        <v>7532</v>
      </c>
      <c r="I1852" s="293" t="s">
        <v>7533</v>
      </c>
      <c r="J1852" s="293" t="s">
        <v>7534</v>
      </c>
      <c r="K1852" s="290" t="s">
        <v>7535</v>
      </c>
      <c r="L1852" s="290" t="s">
        <v>4623</v>
      </c>
      <c r="M1852" s="290" t="s">
        <v>7536</v>
      </c>
      <c r="N1852" s="290" t="s">
        <v>7518</v>
      </c>
      <c r="O1852" s="290" t="s">
        <v>4623</v>
      </c>
      <c r="P1852" s="290" t="s">
        <v>999</v>
      </c>
      <c r="Q1852" s="291" t="s">
        <v>4623</v>
      </c>
      <c r="R1852" s="276"/>
      <c r="S1852" s="277">
        <f>IF(OR(C1852="",C1852=T$4),NA(),MATCH($B1852&amp;$C1852,'Smelter Reference List'!$J:$J,0))</f>
        <v>442</v>
      </c>
      <c r="T1852" s="278"/>
      <c r="U1852" s="278"/>
      <c r="V1852" s="278"/>
      <c r="W1852" s="278"/>
    </row>
    <row r="1853" spans="1:23" s="269" customFormat="1" ht="20.25">
      <c r="A1853" s="267"/>
      <c r="B1853" s="275" t="s">
        <v>2437</v>
      </c>
      <c r="C1853" s="275" t="s">
        <v>3831</v>
      </c>
      <c r="D1853" s="168" t="s">
        <v>7537</v>
      </c>
      <c r="E1853" s="168" t="s">
        <v>2402</v>
      </c>
      <c r="F1853" s="168" t="s">
        <v>4623</v>
      </c>
      <c r="G1853" s="168" t="s">
        <v>4623</v>
      </c>
      <c r="H1853" s="292" t="s">
        <v>7538</v>
      </c>
      <c r="I1853" s="293" t="s">
        <v>7539</v>
      </c>
      <c r="J1853" s="293" t="s">
        <v>7540</v>
      </c>
      <c r="K1853" s="290" t="s">
        <v>4623</v>
      </c>
      <c r="L1853" s="290" t="s">
        <v>4623</v>
      </c>
      <c r="M1853" s="290" t="s">
        <v>6918</v>
      </c>
      <c r="N1853" s="290" t="s">
        <v>4633</v>
      </c>
      <c r="O1853" s="290" t="s">
        <v>4633</v>
      </c>
      <c r="P1853" s="290" t="s">
        <v>999</v>
      </c>
      <c r="Q1853" s="291" t="s">
        <v>4623</v>
      </c>
      <c r="R1853" s="276"/>
      <c r="S1853" s="277">
        <f>IF(OR(C1853="",C1853=T$4),NA(),MATCH($B1853&amp;$C1853,'Smelter Reference List'!$J:$J,0))</f>
        <v>442</v>
      </c>
      <c r="T1853" s="278"/>
      <c r="U1853" s="278"/>
      <c r="V1853" s="278"/>
      <c r="W1853" s="278"/>
    </row>
    <row r="1854" spans="1:23" s="269" customFormat="1" ht="20.25">
      <c r="A1854" s="267"/>
      <c r="B1854" s="275" t="s">
        <v>2437</v>
      </c>
      <c r="C1854" s="275" t="s">
        <v>3831</v>
      </c>
      <c r="D1854" s="168" t="s">
        <v>7541</v>
      </c>
      <c r="E1854" s="168" t="s">
        <v>2402</v>
      </c>
      <c r="F1854" s="168" t="s">
        <v>4623</v>
      </c>
      <c r="G1854" s="168" t="s">
        <v>4623</v>
      </c>
      <c r="H1854" s="292" t="s">
        <v>4623</v>
      </c>
      <c r="I1854" s="293" t="s">
        <v>4623</v>
      </c>
      <c r="J1854" s="293" t="s">
        <v>4623</v>
      </c>
      <c r="K1854" s="290" t="s">
        <v>4623</v>
      </c>
      <c r="L1854" s="290" t="s">
        <v>4623</v>
      </c>
      <c r="M1854" s="290" t="s">
        <v>4623</v>
      </c>
      <c r="N1854" s="290" t="s">
        <v>4623</v>
      </c>
      <c r="O1854" s="290" t="s">
        <v>4623</v>
      </c>
      <c r="P1854" s="290" t="s">
        <v>999</v>
      </c>
      <c r="Q1854" s="291" t="s">
        <v>4623</v>
      </c>
      <c r="R1854" s="276"/>
      <c r="S1854" s="277">
        <f>IF(OR(C1854="",C1854=T$4),NA(),MATCH($B1854&amp;$C1854,'Smelter Reference List'!$J:$J,0))</f>
        <v>442</v>
      </c>
      <c r="T1854" s="278"/>
      <c r="U1854" s="278"/>
      <c r="V1854" s="278"/>
      <c r="W1854" s="278"/>
    </row>
    <row r="1855" spans="1:23" s="269" customFormat="1" ht="20.25">
      <c r="A1855" s="267"/>
      <c r="B1855" s="275" t="s">
        <v>2437</v>
      </c>
      <c r="C1855" s="275" t="s">
        <v>3831</v>
      </c>
      <c r="D1855" s="168" t="s">
        <v>7542</v>
      </c>
      <c r="E1855" s="168" t="s">
        <v>2402</v>
      </c>
      <c r="F1855" s="168" t="s">
        <v>4623</v>
      </c>
      <c r="G1855" s="168" t="s">
        <v>4623</v>
      </c>
      <c r="H1855" s="292" t="s">
        <v>4623</v>
      </c>
      <c r="I1855" s="293" t="s">
        <v>4623</v>
      </c>
      <c r="J1855" s="293" t="s">
        <v>4623</v>
      </c>
      <c r="K1855" s="290" t="s">
        <v>4623</v>
      </c>
      <c r="L1855" s="290" t="s">
        <v>4623</v>
      </c>
      <c r="M1855" s="290" t="s">
        <v>4623</v>
      </c>
      <c r="N1855" s="290" t="s">
        <v>4623</v>
      </c>
      <c r="O1855" s="290" t="s">
        <v>4623</v>
      </c>
      <c r="P1855" s="290" t="s">
        <v>999</v>
      </c>
      <c r="Q1855" s="291" t="s">
        <v>4623</v>
      </c>
      <c r="R1855" s="276"/>
      <c r="S1855" s="277">
        <f>IF(OR(C1855="",C1855=T$4),NA(),MATCH($B1855&amp;$C1855,'Smelter Reference List'!$J:$J,0))</f>
        <v>442</v>
      </c>
      <c r="T1855" s="278"/>
      <c r="U1855" s="278"/>
      <c r="V1855" s="278"/>
      <c r="W1855" s="278"/>
    </row>
    <row r="1856" spans="1:23" s="269" customFormat="1" ht="20.25">
      <c r="A1856" s="267"/>
      <c r="B1856" s="275" t="s">
        <v>2437</v>
      </c>
      <c r="C1856" s="275" t="s">
        <v>3831</v>
      </c>
      <c r="D1856" s="168" t="s">
        <v>6375</v>
      </c>
      <c r="E1856" s="168" t="s">
        <v>2402</v>
      </c>
      <c r="F1856" s="168" t="s">
        <v>4623</v>
      </c>
      <c r="G1856" s="168" t="s">
        <v>4623</v>
      </c>
      <c r="H1856" s="292" t="s">
        <v>4623</v>
      </c>
      <c r="I1856" s="293" t="s">
        <v>4623</v>
      </c>
      <c r="J1856" s="293" t="s">
        <v>4623</v>
      </c>
      <c r="K1856" s="290" t="s">
        <v>4623</v>
      </c>
      <c r="L1856" s="290" t="s">
        <v>4623</v>
      </c>
      <c r="M1856" s="290" t="s">
        <v>4623</v>
      </c>
      <c r="N1856" s="290" t="s">
        <v>4623</v>
      </c>
      <c r="O1856" s="290" t="s">
        <v>4623</v>
      </c>
      <c r="P1856" s="290" t="s">
        <v>999</v>
      </c>
      <c r="Q1856" s="291" t="s">
        <v>4623</v>
      </c>
      <c r="R1856" s="276"/>
      <c r="S1856" s="277">
        <f>IF(OR(C1856="",C1856=T$4),NA(),MATCH($B1856&amp;$C1856,'Smelter Reference List'!$J:$J,0))</f>
        <v>442</v>
      </c>
      <c r="T1856" s="278"/>
      <c r="U1856" s="278"/>
      <c r="V1856" s="278"/>
      <c r="W1856" s="278"/>
    </row>
    <row r="1857" spans="1:23" s="269" customFormat="1" ht="20.25">
      <c r="A1857" s="267"/>
      <c r="B1857" s="275" t="s">
        <v>2437</v>
      </c>
      <c r="C1857" s="275" t="s">
        <v>3831</v>
      </c>
      <c r="D1857" s="168" t="s">
        <v>7543</v>
      </c>
      <c r="E1857" s="168" t="s">
        <v>2402</v>
      </c>
      <c r="F1857" s="168" t="s">
        <v>4623</v>
      </c>
      <c r="G1857" s="168" t="s">
        <v>4623</v>
      </c>
      <c r="H1857" s="292" t="s">
        <v>7544</v>
      </c>
      <c r="I1857" s="293" t="s">
        <v>7545</v>
      </c>
      <c r="J1857" s="293" t="s">
        <v>4623</v>
      </c>
      <c r="K1857" s="290" t="s">
        <v>4623</v>
      </c>
      <c r="L1857" s="290" t="s">
        <v>7546</v>
      </c>
      <c r="M1857" s="290" t="s">
        <v>7547</v>
      </c>
      <c r="N1857" s="290" t="s">
        <v>4623</v>
      </c>
      <c r="O1857" s="290" t="s">
        <v>4623</v>
      </c>
      <c r="P1857" s="290" t="s">
        <v>999</v>
      </c>
      <c r="Q1857" s="291" t="s">
        <v>4623</v>
      </c>
      <c r="R1857" s="276"/>
      <c r="S1857" s="277">
        <f>IF(OR(C1857="",C1857=T$4),NA(),MATCH($B1857&amp;$C1857,'Smelter Reference List'!$J:$J,0))</f>
        <v>442</v>
      </c>
      <c r="T1857" s="278"/>
      <c r="U1857" s="278"/>
      <c r="V1857" s="278"/>
      <c r="W1857" s="278"/>
    </row>
    <row r="1858" spans="1:23" s="269" customFormat="1" ht="20.25">
      <c r="A1858" s="267"/>
      <c r="B1858" s="275" t="s">
        <v>2437</v>
      </c>
      <c r="C1858" s="275" t="s">
        <v>3831</v>
      </c>
      <c r="D1858" s="168" t="s">
        <v>7548</v>
      </c>
      <c r="E1858" s="168" t="s">
        <v>2402</v>
      </c>
      <c r="F1858" s="168" t="s">
        <v>4623</v>
      </c>
      <c r="G1858" s="168" t="s">
        <v>4623</v>
      </c>
      <c r="H1858" s="292" t="s">
        <v>7549</v>
      </c>
      <c r="I1858" s="293" t="s">
        <v>7518</v>
      </c>
      <c r="J1858" s="293" t="s">
        <v>7533</v>
      </c>
      <c r="K1858" s="290" t="s">
        <v>4623</v>
      </c>
      <c r="L1858" s="290" t="s">
        <v>4623</v>
      </c>
      <c r="M1858" s="290" t="s">
        <v>4623</v>
      </c>
      <c r="N1858" s="290" t="s">
        <v>4623</v>
      </c>
      <c r="O1858" s="290" t="s">
        <v>4623</v>
      </c>
      <c r="P1858" s="290" t="s">
        <v>999</v>
      </c>
      <c r="Q1858" s="291" t="s">
        <v>4623</v>
      </c>
      <c r="R1858" s="276"/>
      <c r="S1858" s="277">
        <f>IF(OR(C1858="",C1858=T$4),NA(),MATCH($B1858&amp;$C1858,'Smelter Reference List'!$J:$J,0))</f>
        <v>442</v>
      </c>
      <c r="T1858" s="278"/>
      <c r="U1858" s="278"/>
      <c r="V1858" s="278"/>
      <c r="W1858" s="278"/>
    </row>
    <row r="1859" spans="1:23" s="269" customFormat="1" ht="20.25">
      <c r="A1859" s="267"/>
      <c r="B1859" s="275" t="s">
        <v>2437</v>
      </c>
      <c r="C1859" s="275" t="s">
        <v>3831</v>
      </c>
      <c r="D1859" s="168" t="s">
        <v>7550</v>
      </c>
      <c r="E1859" s="168" t="s">
        <v>2402</v>
      </c>
      <c r="F1859" s="168" t="s">
        <v>4623</v>
      </c>
      <c r="G1859" s="168" t="s">
        <v>4623</v>
      </c>
      <c r="H1859" s="292" t="s">
        <v>4623</v>
      </c>
      <c r="I1859" s="293" t="s">
        <v>4623</v>
      </c>
      <c r="J1859" s="293" t="s">
        <v>4623</v>
      </c>
      <c r="K1859" s="290" t="s">
        <v>4623</v>
      </c>
      <c r="L1859" s="290" t="s">
        <v>4623</v>
      </c>
      <c r="M1859" s="290" t="s">
        <v>4623</v>
      </c>
      <c r="N1859" s="290" t="s">
        <v>4623</v>
      </c>
      <c r="O1859" s="290" t="s">
        <v>4623</v>
      </c>
      <c r="P1859" s="290" t="s">
        <v>999</v>
      </c>
      <c r="Q1859" s="291" t="s">
        <v>4623</v>
      </c>
      <c r="R1859" s="276"/>
      <c r="S1859" s="277">
        <f>IF(OR(C1859="",C1859=T$4),NA(),MATCH($B1859&amp;$C1859,'Smelter Reference List'!$J:$J,0))</f>
        <v>442</v>
      </c>
      <c r="T1859" s="278"/>
      <c r="U1859" s="278"/>
      <c r="V1859" s="278"/>
      <c r="W1859" s="278"/>
    </row>
    <row r="1860" spans="1:23" s="269" customFormat="1" ht="20.25">
      <c r="A1860" s="267"/>
      <c r="B1860" s="275" t="s">
        <v>2437</v>
      </c>
      <c r="C1860" s="275" t="s">
        <v>3831</v>
      </c>
      <c r="D1860" s="168" t="s">
        <v>5775</v>
      </c>
      <c r="E1860" s="168" t="s">
        <v>2402</v>
      </c>
      <c r="F1860" s="168" t="s">
        <v>4623</v>
      </c>
      <c r="G1860" s="168" t="s">
        <v>4623</v>
      </c>
      <c r="H1860" s="292" t="s">
        <v>4623</v>
      </c>
      <c r="I1860" s="293" t="s">
        <v>4623</v>
      </c>
      <c r="J1860" s="293" t="s">
        <v>4623</v>
      </c>
      <c r="K1860" s="290" t="s">
        <v>4623</v>
      </c>
      <c r="L1860" s="290" t="s">
        <v>4623</v>
      </c>
      <c r="M1860" s="290" t="s">
        <v>4623</v>
      </c>
      <c r="N1860" s="290" t="s">
        <v>4623</v>
      </c>
      <c r="O1860" s="290" t="s">
        <v>4623</v>
      </c>
      <c r="P1860" s="290" t="s">
        <v>999</v>
      </c>
      <c r="Q1860" s="291" t="s">
        <v>4623</v>
      </c>
      <c r="R1860" s="276"/>
      <c r="S1860" s="277">
        <f>IF(OR(C1860="",C1860=T$4),NA(),MATCH($B1860&amp;$C1860,'Smelter Reference List'!$J:$J,0))</f>
        <v>442</v>
      </c>
      <c r="T1860" s="278"/>
      <c r="U1860" s="278"/>
      <c r="V1860" s="278"/>
      <c r="W1860" s="278"/>
    </row>
    <row r="1861" spans="1:23" s="269" customFormat="1" ht="20.25">
      <c r="A1861" s="267"/>
      <c r="B1861" s="275" t="s">
        <v>2437</v>
      </c>
      <c r="C1861" s="275" t="s">
        <v>3831</v>
      </c>
      <c r="D1861" s="168" t="s">
        <v>7551</v>
      </c>
      <c r="E1861" s="168" t="s">
        <v>2402</v>
      </c>
      <c r="F1861" s="168" t="s">
        <v>4623</v>
      </c>
      <c r="G1861" s="168" t="s">
        <v>4623</v>
      </c>
      <c r="H1861" s="292" t="s">
        <v>7552</v>
      </c>
      <c r="I1861" s="293" t="s">
        <v>4623</v>
      </c>
      <c r="J1861" s="293" t="s">
        <v>4623</v>
      </c>
      <c r="K1861" s="290" t="s">
        <v>7553</v>
      </c>
      <c r="L1861" s="290" t="s">
        <v>7554</v>
      </c>
      <c r="M1861" s="290" t="s">
        <v>4623</v>
      </c>
      <c r="N1861" s="290" t="s">
        <v>4628</v>
      </c>
      <c r="O1861" s="290" t="s">
        <v>4623</v>
      </c>
      <c r="P1861" s="290" t="s">
        <v>999</v>
      </c>
      <c r="Q1861" s="291" t="s">
        <v>4623</v>
      </c>
      <c r="R1861" s="276"/>
      <c r="S1861" s="277">
        <f>IF(OR(C1861="",C1861=T$4),NA(),MATCH($B1861&amp;$C1861,'Smelter Reference List'!$J:$J,0))</f>
        <v>442</v>
      </c>
      <c r="T1861" s="278"/>
      <c r="U1861" s="278"/>
      <c r="V1861" s="278"/>
      <c r="W1861" s="278"/>
    </row>
    <row r="1862" spans="1:23" s="269" customFormat="1" ht="20.25">
      <c r="A1862" s="267"/>
      <c r="B1862" s="275" t="s">
        <v>2437</v>
      </c>
      <c r="C1862" s="275" t="s">
        <v>3831</v>
      </c>
      <c r="D1862" s="168" t="s">
        <v>7555</v>
      </c>
      <c r="E1862" s="168" t="s">
        <v>2402</v>
      </c>
      <c r="F1862" s="168" t="s">
        <v>4623</v>
      </c>
      <c r="G1862" s="168" t="s">
        <v>4623</v>
      </c>
      <c r="H1862" s="292" t="s">
        <v>7556</v>
      </c>
      <c r="I1862" s="293" t="s">
        <v>7557</v>
      </c>
      <c r="J1862" s="293" t="s">
        <v>7558</v>
      </c>
      <c r="K1862" s="290" t="s">
        <v>7559</v>
      </c>
      <c r="L1862" s="290" t="s">
        <v>7560</v>
      </c>
      <c r="M1862" s="290" t="s">
        <v>4623</v>
      </c>
      <c r="N1862" s="290" t="s">
        <v>4623</v>
      </c>
      <c r="O1862" s="290" t="s">
        <v>4623</v>
      </c>
      <c r="P1862" s="290" t="s">
        <v>999</v>
      </c>
      <c r="Q1862" s="291" t="s">
        <v>4623</v>
      </c>
      <c r="R1862" s="276"/>
      <c r="S1862" s="277">
        <f>IF(OR(C1862="",C1862=T$4),NA(),MATCH($B1862&amp;$C1862,'Smelter Reference List'!$J:$J,0))</f>
        <v>442</v>
      </c>
      <c r="T1862" s="278"/>
      <c r="U1862" s="278"/>
      <c r="V1862" s="278"/>
      <c r="W1862" s="278"/>
    </row>
    <row r="1863" spans="1:23" s="269" customFormat="1" ht="20.25">
      <c r="A1863" s="267"/>
      <c r="B1863" s="275" t="s">
        <v>2437</v>
      </c>
      <c r="C1863" s="275" t="s">
        <v>3831</v>
      </c>
      <c r="D1863" s="168" t="s">
        <v>7561</v>
      </c>
      <c r="E1863" s="168" t="s">
        <v>2402</v>
      </c>
      <c r="F1863" s="168" t="s">
        <v>4623</v>
      </c>
      <c r="G1863" s="168" t="s">
        <v>4623</v>
      </c>
      <c r="H1863" s="292" t="s">
        <v>4623</v>
      </c>
      <c r="I1863" s="293" t="s">
        <v>4623</v>
      </c>
      <c r="J1863" s="293" t="s">
        <v>4623</v>
      </c>
      <c r="K1863" s="290" t="s">
        <v>4623</v>
      </c>
      <c r="L1863" s="290" t="s">
        <v>4623</v>
      </c>
      <c r="M1863" s="290" t="s">
        <v>4623</v>
      </c>
      <c r="N1863" s="290" t="s">
        <v>4623</v>
      </c>
      <c r="O1863" s="290" t="s">
        <v>4623</v>
      </c>
      <c r="P1863" s="290" t="s">
        <v>999</v>
      </c>
      <c r="Q1863" s="291" t="s">
        <v>4623</v>
      </c>
      <c r="R1863" s="276"/>
      <c r="S1863" s="277">
        <f>IF(OR(C1863="",C1863=T$4),NA(),MATCH($B1863&amp;$C1863,'Smelter Reference List'!$J:$J,0))</f>
        <v>442</v>
      </c>
      <c r="T1863" s="278"/>
      <c r="U1863" s="278"/>
      <c r="V1863" s="278"/>
      <c r="W1863" s="278"/>
    </row>
    <row r="1864" spans="1:23" s="269" customFormat="1" ht="20.25">
      <c r="A1864" s="267"/>
      <c r="B1864" s="275" t="s">
        <v>2437</v>
      </c>
      <c r="C1864" s="275" t="s">
        <v>3831</v>
      </c>
      <c r="D1864" s="168" t="s">
        <v>6859</v>
      </c>
      <c r="E1864" s="168" t="s">
        <v>2402</v>
      </c>
      <c r="F1864" s="168" t="s">
        <v>4623</v>
      </c>
      <c r="G1864" s="168" t="s">
        <v>4623</v>
      </c>
      <c r="H1864" s="292" t="s">
        <v>4623</v>
      </c>
      <c r="I1864" s="293" t="s">
        <v>4623</v>
      </c>
      <c r="J1864" s="293" t="s">
        <v>4623</v>
      </c>
      <c r="K1864" s="290" t="s">
        <v>4623</v>
      </c>
      <c r="L1864" s="290" t="s">
        <v>4623</v>
      </c>
      <c r="M1864" s="290" t="s">
        <v>6377</v>
      </c>
      <c r="N1864" s="290" t="s">
        <v>5000</v>
      </c>
      <c r="O1864" s="290" t="s">
        <v>5000</v>
      </c>
      <c r="P1864" s="290" t="s">
        <v>999</v>
      </c>
      <c r="Q1864" s="291" t="s">
        <v>4623</v>
      </c>
      <c r="R1864" s="276"/>
      <c r="S1864" s="277">
        <f>IF(OR(C1864="",C1864=T$4),NA(),MATCH($B1864&amp;$C1864,'Smelter Reference List'!$J:$J,0))</f>
        <v>442</v>
      </c>
      <c r="T1864" s="278"/>
      <c r="U1864" s="278"/>
      <c r="V1864" s="278"/>
      <c r="W1864" s="278"/>
    </row>
    <row r="1865" spans="1:23" s="269" customFormat="1" ht="20.25">
      <c r="A1865" s="267"/>
      <c r="B1865" s="275" t="s">
        <v>2437</v>
      </c>
      <c r="C1865" s="275" t="s">
        <v>3831</v>
      </c>
      <c r="D1865" s="168" t="s">
        <v>7562</v>
      </c>
      <c r="E1865" s="168" t="s">
        <v>2402</v>
      </c>
      <c r="F1865" s="168" t="s">
        <v>4623</v>
      </c>
      <c r="G1865" s="168" t="s">
        <v>4623</v>
      </c>
      <c r="H1865" s="292" t="s">
        <v>7563</v>
      </c>
      <c r="I1865" s="293" t="s">
        <v>4623</v>
      </c>
      <c r="J1865" s="293" t="s">
        <v>4623</v>
      </c>
      <c r="K1865" s="290" t="s">
        <v>7564</v>
      </c>
      <c r="L1865" s="290" t="s">
        <v>7565</v>
      </c>
      <c r="M1865" s="290" t="s">
        <v>7566</v>
      </c>
      <c r="N1865" s="290" t="s">
        <v>4623</v>
      </c>
      <c r="O1865" s="290" t="s">
        <v>4623</v>
      </c>
      <c r="P1865" s="290" t="s">
        <v>999</v>
      </c>
      <c r="Q1865" s="291" t="s">
        <v>4623</v>
      </c>
      <c r="R1865" s="276"/>
      <c r="S1865" s="277">
        <f>IF(OR(C1865="",C1865=T$4),NA(),MATCH($B1865&amp;$C1865,'Smelter Reference List'!$J:$J,0))</f>
        <v>442</v>
      </c>
      <c r="T1865" s="278"/>
      <c r="U1865" s="278"/>
      <c r="V1865" s="278"/>
      <c r="W1865" s="278"/>
    </row>
    <row r="1866" spans="1:23" s="269" customFormat="1" ht="20.25">
      <c r="A1866" s="267"/>
      <c r="B1866" s="275" t="s">
        <v>2437</v>
      </c>
      <c r="C1866" s="275" t="s">
        <v>3831</v>
      </c>
      <c r="D1866" s="168" t="s">
        <v>7567</v>
      </c>
      <c r="E1866" s="168" t="s">
        <v>2402</v>
      </c>
      <c r="F1866" s="168" t="s">
        <v>4623</v>
      </c>
      <c r="G1866" s="168" t="s">
        <v>4623</v>
      </c>
      <c r="H1866" s="292" t="s">
        <v>7568</v>
      </c>
      <c r="I1866" s="293" t="s">
        <v>7569</v>
      </c>
      <c r="J1866" s="293" t="s">
        <v>4580</v>
      </c>
      <c r="K1866" s="290" t="s">
        <v>4623</v>
      </c>
      <c r="L1866" s="290" t="s">
        <v>4623</v>
      </c>
      <c r="M1866" s="290" t="s">
        <v>4623</v>
      </c>
      <c r="N1866" s="290" t="s">
        <v>4623</v>
      </c>
      <c r="O1866" s="290" t="s">
        <v>4623</v>
      </c>
      <c r="P1866" s="290" t="s">
        <v>999</v>
      </c>
      <c r="Q1866" s="291" t="s">
        <v>4623</v>
      </c>
      <c r="R1866" s="276"/>
      <c r="S1866" s="277">
        <f>IF(OR(C1866="",C1866=T$4),NA(),MATCH($B1866&amp;$C1866,'Smelter Reference List'!$J:$J,0))</f>
        <v>442</v>
      </c>
      <c r="T1866" s="278"/>
      <c r="U1866" s="278"/>
      <c r="V1866" s="278"/>
      <c r="W1866" s="278"/>
    </row>
    <row r="1867" spans="1:23" s="269" customFormat="1" ht="20.25">
      <c r="A1867" s="267"/>
      <c r="B1867" s="275" t="s">
        <v>2437</v>
      </c>
      <c r="C1867" s="275" t="s">
        <v>3831</v>
      </c>
      <c r="D1867" s="168" t="s">
        <v>7570</v>
      </c>
      <c r="E1867" s="168" t="s">
        <v>2402</v>
      </c>
      <c r="F1867" s="168" t="s">
        <v>4623</v>
      </c>
      <c r="G1867" s="168" t="s">
        <v>4623</v>
      </c>
      <c r="H1867" s="292" t="s">
        <v>4623</v>
      </c>
      <c r="I1867" s="293" t="s">
        <v>4623</v>
      </c>
      <c r="J1867" s="293" t="s">
        <v>4623</v>
      </c>
      <c r="K1867" s="290" t="s">
        <v>4623</v>
      </c>
      <c r="L1867" s="290" t="s">
        <v>4623</v>
      </c>
      <c r="M1867" s="290" t="s">
        <v>4623</v>
      </c>
      <c r="N1867" s="290" t="s">
        <v>4623</v>
      </c>
      <c r="O1867" s="290" t="s">
        <v>4623</v>
      </c>
      <c r="P1867" s="290" t="s">
        <v>999</v>
      </c>
      <c r="Q1867" s="291" t="s">
        <v>4623</v>
      </c>
      <c r="R1867" s="276"/>
      <c r="S1867" s="277">
        <f>IF(OR(C1867="",C1867=T$4),NA(),MATCH($B1867&amp;$C1867,'Smelter Reference List'!$J:$J,0))</f>
        <v>442</v>
      </c>
      <c r="T1867" s="278"/>
      <c r="U1867" s="278"/>
      <c r="V1867" s="278"/>
      <c r="W1867" s="278"/>
    </row>
    <row r="1868" spans="1:23" s="269" customFormat="1" ht="20.25">
      <c r="A1868" s="267"/>
      <c r="B1868" s="275" t="s">
        <v>2437</v>
      </c>
      <c r="C1868" s="275" t="s">
        <v>3831</v>
      </c>
      <c r="D1868" s="168" t="s">
        <v>7571</v>
      </c>
      <c r="E1868" s="168" t="s">
        <v>2388</v>
      </c>
      <c r="F1868" s="168" t="s">
        <v>4623</v>
      </c>
      <c r="G1868" s="168" t="s">
        <v>4623</v>
      </c>
      <c r="H1868" s="292" t="s">
        <v>7572</v>
      </c>
      <c r="I1868" s="293" t="s">
        <v>7573</v>
      </c>
      <c r="J1868" s="293" t="s">
        <v>7574</v>
      </c>
      <c r="K1868" s="290" t="s">
        <v>7575</v>
      </c>
      <c r="L1868" s="290" t="s">
        <v>7576</v>
      </c>
      <c r="M1868" s="290" t="s">
        <v>4623</v>
      </c>
      <c r="N1868" s="290" t="s">
        <v>4623</v>
      </c>
      <c r="O1868" s="290" t="s">
        <v>4623</v>
      </c>
      <c r="P1868" s="290" t="s">
        <v>999</v>
      </c>
      <c r="Q1868" s="291" t="s">
        <v>4623</v>
      </c>
      <c r="R1868" s="276"/>
      <c r="S1868" s="277">
        <f>IF(OR(C1868="",C1868=T$4),NA(),MATCH($B1868&amp;$C1868,'Smelter Reference List'!$J:$J,0))</f>
        <v>442</v>
      </c>
      <c r="T1868" s="278"/>
      <c r="U1868" s="278"/>
      <c r="V1868" s="278"/>
      <c r="W1868" s="278"/>
    </row>
    <row r="1869" spans="1:23" s="269" customFormat="1" ht="20.25">
      <c r="A1869" s="267"/>
      <c r="B1869" s="275" t="s">
        <v>2437</v>
      </c>
      <c r="C1869" s="275" t="s">
        <v>3831</v>
      </c>
      <c r="D1869" s="168" t="s">
        <v>7577</v>
      </c>
      <c r="E1869" s="168" t="s">
        <v>2388</v>
      </c>
      <c r="F1869" s="168" t="s">
        <v>4623</v>
      </c>
      <c r="G1869" s="168" t="s">
        <v>4623</v>
      </c>
      <c r="H1869" s="292" t="s">
        <v>7578</v>
      </c>
      <c r="I1869" s="293" t="s">
        <v>7579</v>
      </c>
      <c r="J1869" s="293" t="s">
        <v>7579</v>
      </c>
      <c r="K1869" s="290" t="s">
        <v>7580</v>
      </c>
      <c r="L1869" s="290" t="s">
        <v>7581</v>
      </c>
      <c r="M1869" s="290" t="s">
        <v>4623</v>
      </c>
      <c r="N1869" s="290" t="s">
        <v>4628</v>
      </c>
      <c r="O1869" s="290" t="s">
        <v>4628</v>
      </c>
      <c r="P1869" s="290" t="s">
        <v>999</v>
      </c>
      <c r="Q1869" s="291" t="s">
        <v>4623</v>
      </c>
      <c r="R1869" s="276"/>
      <c r="S1869" s="277">
        <f>IF(OR(C1869="",C1869=T$4),NA(),MATCH($B1869&amp;$C1869,'Smelter Reference List'!$J:$J,0))</f>
        <v>442</v>
      </c>
      <c r="T1869" s="278"/>
      <c r="U1869" s="278"/>
      <c r="V1869" s="278"/>
      <c r="W1869" s="278"/>
    </row>
    <row r="1870" spans="1:23" s="269" customFormat="1" ht="20.25">
      <c r="A1870" s="267"/>
      <c r="B1870" s="275" t="s">
        <v>2437</v>
      </c>
      <c r="C1870" s="275" t="s">
        <v>3831</v>
      </c>
      <c r="D1870" s="168" t="s">
        <v>7582</v>
      </c>
      <c r="E1870" s="168" t="s">
        <v>2388</v>
      </c>
      <c r="F1870" s="168" t="s">
        <v>4623</v>
      </c>
      <c r="G1870" s="168" t="s">
        <v>4623</v>
      </c>
      <c r="H1870" s="292" t="s">
        <v>4623</v>
      </c>
      <c r="I1870" s="293" t="s">
        <v>4623</v>
      </c>
      <c r="J1870" s="293" t="s">
        <v>4623</v>
      </c>
      <c r="K1870" s="290" t="s">
        <v>4623</v>
      </c>
      <c r="L1870" s="290" t="s">
        <v>4623</v>
      </c>
      <c r="M1870" s="290" t="s">
        <v>4623</v>
      </c>
      <c r="N1870" s="290" t="s">
        <v>4623</v>
      </c>
      <c r="O1870" s="290" t="s">
        <v>4623</v>
      </c>
      <c r="P1870" s="290" t="s">
        <v>999</v>
      </c>
      <c r="Q1870" s="291" t="s">
        <v>4623</v>
      </c>
      <c r="R1870" s="276"/>
      <c r="S1870" s="277">
        <f>IF(OR(C1870="",C1870=T$4),NA(),MATCH($B1870&amp;$C1870,'Smelter Reference List'!$J:$J,0))</f>
        <v>442</v>
      </c>
      <c r="T1870" s="278"/>
      <c r="U1870" s="278"/>
      <c r="V1870" s="278"/>
      <c r="W1870" s="278"/>
    </row>
    <row r="1871" spans="1:23" s="269" customFormat="1" ht="20.25">
      <c r="A1871" s="267"/>
      <c r="B1871" s="275" t="s">
        <v>2437</v>
      </c>
      <c r="C1871" s="275" t="s">
        <v>3831</v>
      </c>
      <c r="D1871" s="168" t="s">
        <v>7583</v>
      </c>
      <c r="E1871" s="168" t="s">
        <v>2388</v>
      </c>
      <c r="F1871" s="168" t="s">
        <v>4623</v>
      </c>
      <c r="G1871" s="168" t="s">
        <v>4623</v>
      </c>
      <c r="H1871" s="292" t="s">
        <v>4623</v>
      </c>
      <c r="I1871" s="293" t="s">
        <v>4623</v>
      </c>
      <c r="J1871" s="293" t="s">
        <v>4623</v>
      </c>
      <c r="K1871" s="290" t="s">
        <v>4623</v>
      </c>
      <c r="L1871" s="290" t="s">
        <v>4623</v>
      </c>
      <c r="M1871" s="290" t="s">
        <v>4623</v>
      </c>
      <c r="N1871" s="290" t="s">
        <v>4623</v>
      </c>
      <c r="O1871" s="290" t="s">
        <v>4623</v>
      </c>
      <c r="P1871" s="290" t="s">
        <v>999</v>
      </c>
      <c r="Q1871" s="291" t="s">
        <v>4623</v>
      </c>
      <c r="R1871" s="276"/>
      <c r="S1871" s="277">
        <f>IF(OR(C1871="",C1871=T$4),NA(),MATCH($B1871&amp;$C1871,'Smelter Reference List'!$J:$J,0))</f>
        <v>442</v>
      </c>
      <c r="T1871" s="278"/>
      <c r="U1871" s="278"/>
      <c r="V1871" s="278"/>
      <c r="W1871" s="278"/>
    </row>
    <row r="1872" spans="1:23" s="269" customFormat="1" ht="20.25">
      <c r="A1872" s="267"/>
      <c r="B1872" s="275" t="s">
        <v>2437</v>
      </c>
      <c r="C1872" s="275" t="s">
        <v>3831</v>
      </c>
      <c r="D1872" s="168" t="s">
        <v>7584</v>
      </c>
      <c r="E1872" s="168" t="s">
        <v>2388</v>
      </c>
      <c r="F1872" s="168" t="s">
        <v>4623</v>
      </c>
      <c r="G1872" s="168" t="s">
        <v>4623</v>
      </c>
      <c r="H1872" s="292" t="s">
        <v>7585</v>
      </c>
      <c r="I1872" s="293" t="s">
        <v>7586</v>
      </c>
      <c r="J1872" s="293" t="s">
        <v>7574</v>
      </c>
      <c r="K1872" s="290" t="s">
        <v>7587</v>
      </c>
      <c r="L1872" s="290" t="s">
        <v>7588</v>
      </c>
      <c r="M1872" s="290" t="s">
        <v>4623</v>
      </c>
      <c r="N1872" s="290" t="s">
        <v>4623</v>
      </c>
      <c r="O1872" s="290" t="s">
        <v>4623</v>
      </c>
      <c r="P1872" s="290" t="s">
        <v>999</v>
      </c>
      <c r="Q1872" s="291" t="s">
        <v>4623</v>
      </c>
      <c r="R1872" s="276"/>
      <c r="S1872" s="277">
        <f>IF(OR(C1872="",C1872=T$4),NA(),MATCH($B1872&amp;$C1872,'Smelter Reference List'!$J:$J,0))</f>
        <v>442</v>
      </c>
      <c r="T1872" s="278"/>
      <c r="U1872" s="278"/>
      <c r="V1872" s="278"/>
      <c r="W1872" s="278"/>
    </row>
    <row r="1873" spans="1:23" s="269" customFormat="1" ht="20.25">
      <c r="A1873" s="267"/>
      <c r="B1873" s="275" t="s">
        <v>2437</v>
      </c>
      <c r="C1873" s="275" t="s">
        <v>3831</v>
      </c>
      <c r="D1873" s="168" t="s">
        <v>7589</v>
      </c>
      <c r="E1873" s="168" t="s">
        <v>2388</v>
      </c>
      <c r="F1873" s="168" t="s">
        <v>4623</v>
      </c>
      <c r="G1873" s="168" t="s">
        <v>4623</v>
      </c>
      <c r="H1873" s="292" t="s">
        <v>7590</v>
      </c>
      <c r="I1873" s="293" t="s">
        <v>7591</v>
      </c>
      <c r="J1873" s="293" t="s">
        <v>7591</v>
      </c>
      <c r="K1873" s="290" t="s">
        <v>7592</v>
      </c>
      <c r="L1873" s="290" t="s">
        <v>7593</v>
      </c>
      <c r="M1873" s="290" t="s">
        <v>4623</v>
      </c>
      <c r="N1873" s="290" t="s">
        <v>4623</v>
      </c>
      <c r="O1873" s="290" t="s">
        <v>4623</v>
      </c>
      <c r="P1873" s="290" t="s">
        <v>999</v>
      </c>
      <c r="Q1873" s="291" t="s">
        <v>4623</v>
      </c>
      <c r="R1873" s="276"/>
      <c r="S1873" s="277">
        <f>IF(OR(C1873="",C1873=T$4),NA(),MATCH($B1873&amp;$C1873,'Smelter Reference List'!$J:$J,0))</f>
        <v>442</v>
      </c>
      <c r="T1873" s="278"/>
      <c r="U1873" s="278"/>
      <c r="V1873" s="278"/>
      <c r="W1873" s="278"/>
    </row>
    <row r="1874" spans="1:23" s="269" customFormat="1" ht="20.25">
      <c r="A1874" s="267"/>
      <c r="B1874" s="275" t="s">
        <v>2437</v>
      </c>
      <c r="C1874" s="275" t="s">
        <v>3831</v>
      </c>
      <c r="D1874" s="168" t="s">
        <v>7594</v>
      </c>
      <c r="E1874" s="168" t="s">
        <v>2411</v>
      </c>
      <c r="F1874" s="168" t="s">
        <v>4623</v>
      </c>
      <c r="G1874" s="168" t="s">
        <v>4623</v>
      </c>
      <c r="H1874" s="292" t="s">
        <v>4623</v>
      </c>
      <c r="I1874" s="293" t="s">
        <v>4623</v>
      </c>
      <c r="J1874" s="293" t="s">
        <v>4623</v>
      </c>
      <c r="K1874" s="290" t="s">
        <v>4623</v>
      </c>
      <c r="L1874" s="290" t="s">
        <v>4623</v>
      </c>
      <c r="M1874" s="290" t="s">
        <v>4623</v>
      </c>
      <c r="N1874" s="290" t="s">
        <v>4623</v>
      </c>
      <c r="O1874" s="290" t="s">
        <v>4623</v>
      </c>
      <c r="P1874" s="290" t="s">
        <v>999</v>
      </c>
      <c r="Q1874" s="291" t="s">
        <v>4623</v>
      </c>
      <c r="R1874" s="276"/>
      <c r="S1874" s="277">
        <f>IF(OR(C1874="",C1874=T$4),NA(),MATCH($B1874&amp;$C1874,'Smelter Reference List'!$J:$J,0))</f>
        <v>442</v>
      </c>
      <c r="T1874" s="278"/>
      <c r="U1874" s="278"/>
      <c r="V1874" s="278"/>
      <c r="W1874" s="278"/>
    </row>
    <row r="1875" spans="1:23" s="269" customFormat="1" ht="20.25">
      <c r="A1875" s="267"/>
      <c r="B1875" s="275" t="s">
        <v>2437</v>
      </c>
      <c r="C1875" s="275" t="s">
        <v>3831</v>
      </c>
      <c r="D1875" s="168" t="s">
        <v>6743</v>
      </c>
      <c r="E1875" s="168" t="s">
        <v>2411</v>
      </c>
      <c r="F1875" s="168" t="s">
        <v>4623</v>
      </c>
      <c r="G1875" s="168" t="s">
        <v>4623</v>
      </c>
      <c r="H1875" s="292" t="s">
        <v>4623</v>
      </c>
      <c r="I1875" s="293" t="s">
        <v>4623</v>
      </c>
      <c r="J1875" s="293" t="s">
        <v>4623</v>
      </c>
      <c r="K1875" s="290" t="s">
        <v>4623</v>
      </c>
      <c r="L1875" s="290" t="s">
        <v>4623</v>
      </c>
      <c r="M1875" s="290" t="s">
        <v>6377</v>
      </c>
      <c r="N1875" s="290" t="s">
        <v>5000</v>
      </c>
      <c r="O1875" s="290" t="s">
        <v>5000</v>
      </c>
      <c r="P1875" s="290" t="s">
        <v>999</v>
      </c>
      <c r="Q1875" s="291" t="s">
        <v>4623</v>
      </c>
      <c r="R1875" s="276"/>
      <c r="S1875" s="277">
        <f>IF(OR(C1875="",C1875=T$4),NA(),MATCH($B1875&amp;$C1875,'Smelter Reference List'!$J:$J,0))</f>
        <v>442</v>
      </c>
      <c r="T1875" s="278"/>
      <c r="U1875" s="278"/>
      <c r="V1875" s="278"/>
      <c r="W1875" s="278"/>
    </row>
    <row r="1876" spans="1:23" s="269" customFormat="1" ht="20.25">
      <c r="A1876" s="267"/>
      <c r="B1876" s="275" t="s">
        <v>2437</v>
      </c>
      <c r="C1876" s="275" t="s">
        <v>3831</v>
      </c>
      <c r="D1876" s="168" t="s">
        <v>7595</v>
      </c>
      <c r="E1876" s="168" t="s">
        <v>2411</v>
      </c>
      <c r="F1876" s="168" t="s">
        <v>4623</v>
      </c>
      <c r="G1876" s="168" t="s">
        <v>4623</v>
      </c>
      <c r="H1876" s="292" t="s">
        <v>4623</v>
      </c>
      <c r="I1876" s="293" t="s">
        <v>4623</v>
      </c>
      <c r="J1876" s="293" t="s">
        <v>4623</v>
      </c>
      <c r="K1876" s="290" t="s">
        <v>4623</v>
      </c>
      <c r="L1876" s="290" t="s">
        <v>4623</v>
      </c>
      <c r="M1876" s="290" t="s">
        <v>4623</v>
      </c>
      <c r="N1876" s="290" t="s">
        <v>4623</v>
      </c>
      <c r="O1876" s="290" t="s">
        <v>4623</v>
      </c>
      <c r="P1876" s="290" t="s">
        <v>999</v>
      </c>
      <c r="Q1876" s="291" t="s">
        <v>4623</v>
      </c>
      <c r="R1876" s="276"/>
      <c r="S1876" s="277">
        <f>IF(OR(C1876="",C1876=T$4),NA(),MATCH($B1876&amp;$C1876,'Smelter Reference List'!$J:$J,0))</f>
        <v>442</v>
      </c>
      <c r="T1876" s="278"/>
      <c r="U1876" s="278"/>
      <c r="V1876" s="278"/>
      <c r="W1876" s="278"/>
    </row>
    <row r="1877" spans="1:23" s="269" customFormat="1" ht="20.25">
      <c r="A1877" s="267"/>
      <c r="B1877" s="275" t="s">
        <v>2437</v>
      </c>
      <c r="C1877" s="275" t="s">
        <v>3831</v>
      </c>
      <c r="D1877" s="168" t="s">
        <v>7053</v>
      </c>
      <c r="E1877" s="168" t="s">
        <v>2411</v>
      </c>
      <c r="F1877" s="168" t="s">
        <v>4623</v>
      </c>
      <c r="G1877" s="168" t="s">
        <v>4623</v>
      </c>
      <c r="H1877" s="292" t="s">
        <v>4623</v>
      </c>
      <c r="I1877" s="293" t="s">
        <v>4623</v>
      </c>
      <c r="J1877" s="293" t="s">
        <v>4623</v>
      </c>
      <c r="K1877" s="290" t="s">
        <v>4623</v>
      </c>
      <c r="L1877" s="290" t="s">
        <v>4623</v>
      </c>
      <c r="M1877" s="290" t="s">
        <v>6377</v>
      </c>
      <c r="N1877" s="290" t="s">
        <v>5000</v>
      </c>
      <c r="O1877" s="290" t="s">
        <v>5000</v>
      </c>
      <c r="P1877" s="290" t="s">
        <v>999</v>
      </c>
      <c r="Q1877" s="291" t="s">
        <v>4623</v>
      </c>
      <c r="R1877" s="276"/>
      <c r="S1877" s="277">
        <f>IF(OR(C1877="",C1877=T$4),NA(),MATCH($B1877&amp;$C1877,'Smelter Reference List'!$J:$J,0))</f>
        <v>442</v>
      </c>
      <c r="T1877" s="278"/>
      <c r="U1877" s="278"/>
      <c r="V1877" s="278"/>
      <c r="W1877" s="278"/>
    </row>
    <row r="1878" spans="1:23" s="269" customFormat="1" ht="20.25">
      <c r="A1878" s="267"/>
      <c r="B1878" s="275" t="s">
        <v>2437</v>
      </c>
      <c r="C1878" s="275" t="s">
        <v>3831</v>
      </c>
      <c r="D1878" s="168" t="s">
        <v>7596</v>
      </c>
      <c r="E1878" s="168" t="s">
        <v>2411</v>
      </c>
      <c r="F1878" s="168" t="s">
        <v>4623</v>
      </c>
      <c r="G1878" s="168" t="s">
        <v>4623</v>
      </c>
      <c r="H1878" s="292" t="s">
        <v>4623</v>
      </c>
      <c r="I1878" s="293" t="s">
        <v>4623</v>
      </c>
      <c r="J1878" s="293" t="s">
        <v>4623</v>
      </c>
      <c r="K1878" s="290" t="s">
        <v>4623</v>
      </c>
      <c r="L1878" s="290" t="s">
        <v>4623</v>
      </c>
      <c r="M1878" s="290" t="s">
        <v>4623</v>
      </c>
      <c r="N1878" s="290" t="s">
        <v>4623</v>
      </c>
      <c r="O1878" s="290" t="s">
        <v>4623</v>
      </c>
      <c r="P1878" s="290" t="s">
        <v>999</v>
      </c>
      <c r="Q1878" s="291" t="s">
        <v>4623</v>
      </c>
      <c r="R1878" s="276"/>
      <c r="S1878" s="277">
        <f>IF(OR(C1878="",C1878=T$4),NA(),MATCH($B1878&amp;$C1878,'Smelter Reference List'!$J:$J,0))</f>
        <v>442</v>
      </c>
      <c r="T1878" s="278"/>
      <c r="U1878" s="278"/>
      <c r="V1878" s="278"/>
      <c r="W1878" s="278"/>
    </row>
    <row r="1879" spans="1:23" s="269" customFormat="1" ht="20.25">
      <c r="A1879" s="267"/>
      <c r="B1879" s="275" t="s">
        <v>2437</v>
      </c>
      <c r="C1879" s="275" t="s">
        <v>3831</v>
      </c>
      <c r="D1879" s="168" t="s">
        <v>6360</v>
      </c>
      <c r="E1879" s="168" t="s">
        <v>2415</v>
      </c>
      <c r="F1879" s="168" t="s">
        <v>4623</v>
      </c>
      <c r="G1879" s="168" t="s">
        <v>4623</v>
      </c>
      <c r="H1879" s="292" t="s">
        <v>4623</v>
      </c>
      <c r="I1879" s="293" t="s">
        <v>4623</v>
      </c>
      <c r="J1879" s="293" t="s">
        <v>4623</v>
      </c>
      <c r="K1879" s="290" t="s">
        <v>4623</v>
      </c>
      <c r="L1879" s="290" t="s">
        <v>4623</v>
      </c>
      <c r="M1879" s="290" t="s">
        <v>4623</v>
      </c>
      <c r="N1879" s="290" t="s">
        <v>4623</v>
      </c>
      <c r="O1879" s="290" t="s">
        <v>4623</v>
      </c>
      <c r="P1879" s="290" t="s">
        <v>999</v>
      </c>
      <c r="Q1879" s="291" t="s">
        <v>4623</v>
      </c>
      <c r="R1879" s="276"/>
      <c r="S1879" s="277">
        <f>IF(OR(C1879="",C1879=T$4),NA(),MATCH($B1879&amp;$C1879,'Smelter Reference List'!$J:$J,0))</f>
        <v>442</v>
      </c>
      <c r="T1879" s="278"/>
      <c r="U1879" s="278"/>
      <c r="V1879" s="278"/>
      <c r="W1879" s="278"/>
    </row>
    <row r="1880" spans="1:23" s="269" customFormat="1" ht="20.25">
      <c r="A1880" s="267"/>
      <c r="B1880" s="275" t="s">
        <v>2437</v>
      </c>
      <c r="C1880" s="275" t="s">
        <v>3831</v>
      </c>
      <c r="D1880" s="168" t="s">
        <v>7597</v>
      </c>
      <c r="E1880" s="168" t="s">
        <v>1812</v>
      </c>
      <c r="F1880" s="168" t="s">
        <v>4623</v>
      </c>
      <c r="G1880" s="168" t="s">
        <v>4623</v>
      </c>
      <c r="H1880" s="292" t="s">
        <v>4623</v>
      </c>
      <c r="I1880" s="293" t="s">
        <v>7598</v>
      </c>
      <c r="J1880" s="293" t="s">
        <v>7599</v>
      </c>
      <c r="K1880" s="290" t="s">
        <v>4623</v>
      </c>
      <c r="L1880" s="290" t="s">
        <v>4623</v>
      </c>
      <c r="M1880" s="290" t="s">
        <v>4623</v>
      </c>
      <c r="N1880" s="290" t="s">
        <v>4623</v>
      </c>
      <c r="O1880" s="290" t="s">
        <v>4623</v>
      </c>
      <c r="P1880" s="290" t="s">
        <v>999</v>
      </c>
      <c r="Q1880" s="291" t="s">
        <v>4623</v>
      </c>
      <c r="R1880" s="276"/>
      <c r="S1880" s="277">
        <f>IF(OR(C1880="",C1880=T$4),NA(),MATCH($B1880&amp;$C1880,'Smelter Reference List'!$J:$J,0))</f>
        <v>442</v>
      </c>
      <c r="T1880" s="278"/>
      <c r="U1880" s="278"/>
      <c r="V1880" s="278"/>
      <c r="W1880" s="278"/>
    </row>
    <row r="1881" spans="1:23" s="269" customFormat="1" ht="20.25">
      <c r="A1881" s="267"/>
      <c r="B1881" s="275" t="s">
        <v>2437</v>
      </c>
      <c r="C1881" s="275" t="s">
        <v>3831</v>
      </c>
      <c r="D1881" s="168" t="s">
        <v>7600</v>
      </c>
      <c r="E1881" s="168" t="s">
        <v>1812</v>
      </c>
      <c r="F1881" s="168" t="s">
        <v>4623</v>
      </c>
      <c r="G1881" s="168" t="s">
        <v>4623</v>
      </c>
      <c r="H1881" s="292" t="s">
        <v>4623</v>
      </c>
      <c r="I1881" s="293" t="s">
        <v>4623</v>
      </c>
      <c r="J1881" s="293" t="s">
        <v>4623</v>
      </c>
      <c r="K1881" s="290" t="s">
        <v>4623</v>
      </c>
      <c r="L1881" s="290" t="s">
        <v>4623</v>
      </c>
      <c r="M1881" s="290" t="s">
        <v>4623</v>
      </c>
      <c r="N1881" s="290" t="s">
        <v>4623</v>
      </c>
      <c r="O1881" s="290" t="s">
        <v>4623</v>
      </c>
      <c r="P1881" s="290" t="s">
        <v>999</v>
      </c>
      <c r="Q1881" s="291" t="s">
        <v>4623</v>
      </c>
      <c r="R1881" s="276"/>
      <c r="S1881" s="277">
        <f>IF(OR(C1881="",C1881=T$4),NA(),MATCH($B1881&amp;$C1881,'Smelter Reference List'!$J:$J,0))</f>
        <v>442</v>
      </c>
      <c r="T1881" s="278"/>
      <c r="U1881" s="278"/>
      <c r="V1881" s="278"/>
      <c r="W1881" s="278"/>
    </row>
    <row r="1882" spans="1:23" s="269" customFormat="1" ht="20.25">
      <c r="A1882" s="267"/>
      <c r="B1882" s="275" t="s">
        <v>2437</v>
      </c>
      <c r="C1882" s="275" t="s">
        <v>3831</v>
      </c>
      <c r="D1882" s="168" t="s">
        <v>7601</v>
      </c>
      <c r="E1882" s="168" t="s">
        <v>1812</v>
      </c>
      <c r="F1882" s="168" t="s">
        <v>4623</v>
      </c>
      <c r="G1882" s="168" t="s">
        <v>4623</v>
      </c>
      <c r="H1882" s="292" t="s">
        <v>7602</v>
      </c>
      <c r="I1882" s="293" t="s">
        <v>6444</v>
      </c>
      <c r="J1882" s="293" t="s">
        <v>3704</v>
      </c>
      <c r="K1882" s="290" t="s">
        <v>7603</v>
      </c>
      <c r="L1882" s="290" t="s">
        <v>7604</v>
      </c>
      <c r="M1882" s="290" t="s">
        <v>4623</v>
      </c>
      <c r="N1882" s="290" t="s">
        <v>4623</v>
      </c>
      <c r="O1882" s="290" t="s">
        <v>4623</v>
      </c>
      <c r="P1882" s="290" t="s">
        <v>999</v>
      </c>
      <c r="Q1882" s="291" t="s">
        <v>4623</v>
      </c>
      <c r="R1882" s="276"/>
      <c r="S1882" s="277">
        <f>IF(OR(C1882="",C1882=T$4),NA(),MATCH($B1882&amp;$C1882,'Smelter Reference List'!$J:$J,0))</f>
        <v>442</v>
      </c>
      <c r="T1882" s="278"/>
      <c r="U1882" s="278"/>
      <c r="V1882" s="278"/>
      <c r="W1882" s="278"/>
    </row>
    <row r="1883" spans="1:23" s="269" customFormat="1" ht="20.25">
      <c r="A1883" s="267"/>
      <c r="B1883" s="275" t="s">
        <v>2437</v>
      </c>
      <c r="C1883" s="275" t="s">
        <v>3831</v>
      </c>
      <c r="D1883" s="168" t="s">
        <v>7605</v>
      </c>
      <c r="E1883" s="168" t="s">
        <v>1812</v>
      </c>
      <c r="F1883" s="168" t="s">
        <v>4623</v>
      </c>
      <c r="G1883" s="168" t="s">
        <v>4623</v>
      </c>
      <c r="H1883" s="292" t="s">
        <v>4623</v>
      </c>
      <c r="I1883" s="293" t="s">
        <v>4623</v>
      </c>
      <c r="J1883" s="293" t="s">
        <v>4623</v>
      </c>
      <c r="K1883" s="290" t="s">
        <v>4623</v>
      </c>
      <c r="L1883" s="290" t="s">
        <v>4623</v>
      </c>
      <c r="M1883" s="290" t="s">
        <v>4623</v>
      </c>
      <c r="N1883" s="290" t="s">
        <v>4623</v>
      </c>
      <c r="O1883" s="290" t="s">
        <v>4623</v>
      </c>
      <c r="P1883" s="290" t="s">
        <v>999</v>
      </c>
      <c r="Q1883" s="291" t="s">
        <v>4623</v>
      </c>
      <c r="R1883" s="276"/>
      <c r="S1883" s="277">
        <f>IF(OR(C1883="",C1883=T$4),NA(),MATCH($B1883&amp;$C1883,'Smelter Reference List'!$J:$J,0))</f>
        <v>442</v>
      </c>
      <c r="T1883" s="278"/>
      <c r="U1883" s="278"/>
      <c r="V1883" s="278"/>
      <c r="W1883" s="278"/>
    </row>
    <row r="1884" spans="1:23" s="269" customFormat="1" ht="20.25">
      <c r="A1884" s="267"/>
      <c r="B1884" s="275" t="s">
        <v>2437</v>
      </c>
      <c r="C1884" s="275" t="s">
        <v>3831</v>
      </c>
      <c r="D1884" s="168" t="s">
        <v>7262</v>
      </c>
      <c r="E1884" s="168" t="s">
        <v>1812</v>
      </c>
      <c r="F1884" s="168" t="s">
        <v>4623</v>
      </c>
      <c r="G1884" s="168" t="s">
        <v>4623</v>
      </c>
      <c r="H1884" s="292" t="s">
        <v>4623</v>
      </c>
      <c r="I1884" s="293" t="s">
        <v>4623</v>
      </c>
      <c r="J1884" s="293" t="s">
        <v>4623</v>
      </c>
      <c r="K1884" s="290" t="s">
        <v>4623</v>
      </c>
      <c r="L1884" s="290" t="s">
        <v>4623</v>
      </c>
      <c r="M1884" s="290" t="s">
        <v>4623</v>
      </c>
      <c r="N1884" s="290" t="s">
        <v>4623</v>
      </c>
      <c r="O1884" s="290" t="s">
        <v>4623</v>
      </c>
      <c r="P1884" s="290" t="s">
        <v>999</v>
      </c>
      <c r="Q1884" s="291" t="s">
        <v>4623</v>
      </c>
      <c r="R1884" s="276"/>
      <c r="S1884" s="277">
        <f>IF(OR(C1884="",C1884=T$4),NA(),MATCH($B1884&amp;$C1884,'Smelter Reference List'!$J:$J,0))</f>
        <v>442</v>
      </c>
      <c r="T1884" s="278"/>
      <c r="U1884" s="278"/>
      <c r="V1884" s="278"/>
      <c r="W1884" s="278"/>
    </row>
    <row r="1885" spans="1:23" s="269" customFormat="1" ht="20.25">
      <c r="A1885" s="267"/>
      <c r="B1885" s="275" t="s">
        <v>2437</v>
      </c>
      <c r="C1885" s="275" t="s">
        <v>3831</v>
      </c>
      <c r="D1885" s="168" t="s">
        <v>6444</v>
      </c>
      <c r="E1885" s="168" t="s">
        <v>1812</v>
      </c>
      <c r="F1885" s="168" t="s">
        <v>4623</v>
      </c>
      <c r="G1885" s="168" t="s">
        <v>4623</v>
      </c>
      <c r="H1885" s="292" t="s">
        <v>4623</v>
      </c>
      <c r="I1885" s="293" t="s">
        <v>4623</v>
      </c>
      <c r="J1885" s="293" t="s">
        <v>4623</v>
      </c>
      <c r="K1885" s="290" t="s">
        <v>4623</v>
      </c>
      <c r="L1885" s="290" t="s">
        <v>4623</v>
      </c>
      <c r="M1885" s="290" t="s">
        <v>4623</v>
      </c>
      <c r="N1885" s="290" t="s">
        <v>4623</v>
      </c>
      <c r="O1885" s="290" t="s">
        <v>4623</v>
      </c>
      <c r="P1885" s="290" t="s">
        <v>999</v>
      </c>
      <c r="Q1885" s="291" t="s">
        <v>4623</v>
      </c>
      <c r="R1885" s="276"/>
      <c r="S1885" s="277">
        <f>IF(OR(C1885="",C1885=T$4),NA(),MATCH($B1885&amp;$C1885,'Smelter Reference List'!$J:$J,0))</f>
        <v>442</v>
      </c>
      <c r="T1885" s="278"/>
      <c r="U1885" s="278"/>
      <c r="V1885" s="278"/>
      <c r="W1885" s="278"/>
    </row>
    <row r="1886" spans="1:23" s="269" customFormat="1" ht="20.25">
      <c r="A1886" s="267"/>
      <c r="B1886" s="275" t="s">
        <v>2437</v>
      </c>
      <c r="C1886" s="275" t="s">
        <v>3831</v>
      </c>
      <c r="D1886" s="168" t="s">
        <v>7606</v>
      </c>
      <c r="E1886" s="168" t="s">
        <v>1812</v>
      </c>
      <c r="F1886" s="168" t="s">
        <v>4623</v>
      </c>
      <c r="G1886" s="168" t="s">
        <v>4623</v>
      </c>
      <c r="H1886" s="292" t="s">
        <v>4623</v>
      </c>
      <c r="I1886" s="293" t="s">
        <v>4623</v>
      </c>
      <c r="J1886" s="293" t="s">
        <v>4623</v>
      </c>
      <c r="K1886" s="290" t="s">
        <v>4623</v>
      </c>
      <c r="L1886" s="290" t="s">
        <v>4623</v>
      </c>
      <c r="M1886" s="290" t="s">
        <v>4623</v>
      </c>
      <c r="N1886" s="290" t="s">
        <v>4623</v>
      </c>
      <c r="O1886" s="290" t="s">
        <v>4623</v>
      </c>
      <c r="P1886" s="290" t="s">
        <v>999</v>
      </c>
      <c r="Q1886" s="291" t="s">
        <v>4623</v>
      </c>
      <c r="R1886" s="276"/>
      <c r="S1886" s="277">
        <f>IF(OR(C1886="",C1886=T$4),NA(),MATCH($B1886&amp;$C1886,'Smelter Reference List'!$J:$J,0))</f>
        <v>442</v>
      </c>
      <c r="T1886" s="278"/>
      <c r="U1886" s="278"/>
      <c r="V1886" s="278"/>
      <c r="W1886" s="278"/>
    </row>
    <row r="1887" spans="1:23" s="269" customFormat="1" ht="20.25">
      <c r="A1887" s="267"/>
      <c r="B1887" s="275" t="s">
        <v>2437</v>
      </c>
      <c r="C1887" s="275" t="s">
        <v>3831</v>
      </c>
      <c r="D1887" s="168" t="s">
        <v>7607</v>
      </c>
      <c r="E1887" s="168" t="s">
        <v>1812</v>
      </c>
      <c r="F1887" s="168" t="s">
        <v>4623</v>
      </c>
      <c r="G1887" s="168" t="s">
        <v>4623</v>
      </c>
      <c r="H1887" s="292" t="s">
        <v>4623</v>
      </c>
      <c r="I1887" s="293" t="s">
        <v>4623</v>
      </c>
      <c r="J1887" s="293" t="s">
        <v>4623</v>
      </c>
      <c r="K1887" s="290" t="s">
        <v>4623</v>
      </c>
      <c r="L1887" s="290" t="s">
        <v>4623</v>
      </c>
      <c r="M1887" s="290" t="s">
        <v>4623</v>
      </c>
      <c r="N1887" s="290" t="s">
        <v>4623</v>
      </c>
      <c r="O1887" s="290" t="s">
        <v>4623</v>
      </c>
      <c r="P1887" s="290" t="s">
        <v>999</v>
      </c>
      <c r="Q1887" s="291" t="s">
        <v>4623</v>
      </c>
      <c r="R1887" s="276"/>
      <c r="S1887" s="277">
        <f>IF(OR(C1887="",C1887=T$4),NA(),MATCH($B1887&amp;$C1887,'Smelter Reference List'!$J:$J,0))</f>
        <v>442</v>
      </c>
      <c r="T1887" s="278"/>
      <c r="U1887" s="278"/>
      <c r="V1887" s="278"/>
      <c r="W1887" s="278"/>
    </row>
    <row r="1888" spans="1:23" s="269" customFormat="1" ht="20.25">
      <c r="A1888" s="267"/>
      <c r="B1888" s="275" t="s">
        <v>2437</v>
      </c>
      <c r="C1888" s="275" t="s">
        <v>3831</v>
      </c>
      <c r="D1888" s="168" t="s">
        <v>7608</v>
      </c>
      <c r="E1888" s="168" t="s">
        <v>1812</v>
      </c>
      <c r="F1888" s="168" t="s">
        <v>4623</v>
      </c>
      <c r="G1888" s="168" t="s">
        <v>4623</v>
      </c>
      <c r="H1888" s="292" t="s">
        <v>4623</v>
      </c>
      <c r="I1888" s="293" t="s">
        <v>4623</v>
      </c>
      <c r="J1888" s="293" t="s">
        <v>4623</v>
      </c>
      <c r="K1888" s="290" t="s">
        <v>4623</v>
      </c>
      <c r="L1888" s="290" t="s">
        <v>4623</v>
      </c>
      <c r="M1888" s="290" t="s">
        <v>4623</v>
      </c>
      <c r="N1888" s="290" t="s">
        <v>4623</v>
      </c>
      <c r="O1888" s="290" t="s">
        <v>4623</v>
      </c>
      <c r="P1888" s="290" t="s">
        <v>999</v>
      </c>
      <c r="Q1888" s="291" t="s">
        <v>4623</v>
      </c>
      <c r="R1888" s="276"/>
      <c r="S1888" s="277">
        <f>IF(OR(C1888="",C1888=T$4),NA(),MATCH($B1888&amp;$C1888,'Smelter Reference List'!$J:$J,0))</f>
        <v>442</v>
      </c>
      <c r="T1888" s="278"/>
      <c r="U1888" s="278"/>
      <c r="V1888" s="278"/>
      <c r="W1888" s="278"/>
    </row>
    <row r="1889" spans="1:23" s="269" customFormat="1" ht="20.25">
      <c r="A1889" s="267"/>
      <c r="B1889" s="275" t="s">
        <v>2437</v>
      </c>
      <c r="C1889" s="275" t="s">
        <v>3831</v>
      </c>
      <c r="D1889" s="168" t="s">
        <v>6577</v>
      </c>
      <c r="E1889" s="168" t="s">
        <v>1813</v>
      </c>
      <c r="F1889" s="168" t="s">
        <v>4623</v>
      </c>
      <c r="G1889" s="168" t="s">
        <v>4623</v>
      </c>
      <c r="H1889" s="292" t="s">
        <v>4623</v>
      </c>
      <c r="I1889" s="293" t="s">
        <v>4623</v>
      </c>
      <c r="J1889" s="293" t="s">
        <v>4623</v>
      </c>
      <c r="K1889" s="290" t="s">
        <v>4623</v>
      </c>
      <c r="L1889" s="290" t="s">
        <v>4623</v>
      </c>
      <c r="M1889" s="290" t="s">
        <v>4623</v>
      </c>
      <c r="N1889" s="290" t="s">
        <v>5000</v>
      </c>
      <c r="O1889" s="290" t="s">
        <v>5000</v>
      </c>
      <c r="P1889" s="290" t="s">
        <v>999</v>
      </c>
      <c r="Q1889" s="291" t="s">
        <v>4623</v>
      </c>
      <c r="R1889" s="276"/>
      <c r="S1889" s="277">
        <f>IF(OR(C1889="",C1889=T$4),NA(),MATCH($B1889&amp;$C1889,'Smelter Reference List'!$J:$J,0))</f>
        <v>442</v>
      </c>
      <c r="T1889" s="278"/>
      <c r="U1889" s="278"/>
      <c r="V1889" s="278"/>
      <c r="W1889" s="278"/>
    </row>
    <row r="1890" spans="1:23" s="269" customFormat="1" ht="20.25">
      <c r="A1890" s="267"/>
      <c r="B1890" s="275" t="s">
        <v>2437</v>
      </c>
      <c r="C1890" s="275" t="s">
        <v>3831</v>
      </c>
      <c r="D1890" s="168" t="s">
        <v>7609</v>
      </c>
      <c r="E1890" s="168" t="s">
        <v>1813</v>
      </c>
      <c r="F1890" s="168" t="s">
        <v>4623</v>
      </c>
      <c r="G1890" s="168" t="s">
        <v>4623</v>
      </c>
      <c r="H1890" s="292" t="s">
        <v>4623</v>
      </c>
      <c r="I1890" s="293" t="s">
        <v>4623</v>
      </c>
      <c r="J1890" s="293" t="s">
        <v>4623</v>
      </c>
      <c r="K1890" s="290" t="s">
        <v>4623</v>
      </c>
      <c r="L1890" s="290" t="s">
        <v>4623</v>
      </c>
      <c r="M1890" s="290" t="s">
        <v>4623</v>
      </c>
      <c r="N1890" s="290" t="s">
        <v>4623</v>
      </c>
      <c r="O1890" s="290" t="s">
        <v>4623</v>
      </c>
      <c r="P1890" s="290" t="s">
        <v>999</v>
      </c>
      <c r="Q1890" s="291" t="s">
        <v>4623</v>
      </c>
      <c r="R1890" s="276"/>
      <c r="S1890" s="277">
        <f>IF(OR(C1890="",C1890=T$4),NA(),MATCH($B1890&amp;$C1890,'Smelter Reference List'!$J:$J,0))</f>
        <v>442</v>
      </c>
      <c r="T1890" s="278"/>
      <c r="U1890" s="278"/>
      <c r="V1890" s="278"/>
      <c r="W1890" s="278"/>
    </row>
    <row r="1891" spans="1:23" s="269" customFormat="1" ht="20.25">
      <c r="A1891" s="267"/>
      <c r="B1891" s="275" t="s">
        <v>2437</v>
      </c>
      <c r="C1891" s="275" t="s">
        <v>3831</v>
      </c>
      <c r="D1891" s="168" t="s">
        <v>7610</v>
      </c>
      <c r="E1891" s="168" t="s">
        <v>1813</v>
      </c>
      <c r="F1891" s="168" t="s">
        <v>4623</v>
      </c>
      <c r="G1891" s="168" t="s">
        <v>4623</v>
      </c>
      <c r="H1891" s="292" t="s">
        <v>4623</v>
      </c>
      <c r="I1891" s="293" t="s">
        <v>4623</v>
      </c>
      <c r="J1891" s="293" t="s">
        <v>4623</v>
      </c>
      <c r="K1891" s="290" t="s">
        <v>4623</v>
      </c>
      <c r="L1891" s="290" t="s">
        <v>4623</v>
      </c>
      <c r="M1891" s="290" t="s">
        <v>4623</v>
      </c>
      <c r="N1891" s="290" t="s">
        <v>4623</v>
      </c>
      <c r="O1891" s="290" t="s">
        <v>4623</v>
      </c>
      <c r="P1891" s="290" t="s">
        <v>999</v>
      </c>
      <c r="Q1891" s="291" t="s">
        <v>4623</v>
      </c>
      <c r="R1891" s="276"/>
      <c r="S1891" s="277">
        <f>IF(OR(C1891="",C1891=T$4),NA(),MATCH($B1891&amp;$C1891,'Smelter Reference List'!$J:$J,0))</f>
        <v>442</v>
      </c>
      <c r="T1891" s="278"/>
      <c r="U1891" s="278"/>
      <c r="V1891" s="278"/>
      <c r="W1891" s="278"/>
    </row>
    <row r="1892" spans="1:23" s="269" customFormat="1" ht="20.25">
      <c r="A1892" s="267"/>
      <c r="B1892" s="275" t="s">
        <v>2437</v>
      </c>
      <c r="C1892" s="275" t="s">
        <v>3831</v>
      </c>
      <c r="D1892" s="168" t="s">
        <v>7611</v>
      </c>
      <c r="E1892" s="168" t="s">
        <v>1816</v>
      </c>
      <c r="F1892" s="168" t="s">
        <v>4623</v>
      </c>
      <c r="G1892" s="168" t="s">
        <v>4623</v>
      </c>
      <c r="H1892" s="292" t="s">
        <v>4623</v>
      </c>
      <c r="I1892" s="293" t="s">
        <v>4623</v>
      </c>
      <c r="J1892" s="293" t="s">
        <v>4623</v>
      </c>
      <c r="K1892" s="290" t="s">
        <v>4623</v>
      </c>
      <c r="L1892" s="290" t="s">
        <v>4623</v>
      </c>
      <c r="M1892" s="290" t="s">
        <v>4623</v>
      </c>
      <c r="N1892" s="290" t="s">
        <v>4623</v>
      </c>
      <c r="O1892" s="290" t="s">
        <v>4623</v>
      </c>
      <c r="P1892" s="290" t="s">
        <v>999</v>
      </c>
      <c r="Q1892" s="291" t="s">
        <v>4623</v>
      </c>
      <c r="R1892" s="276"/>
      <c r="S1892" s="277">
        <f>IF(OR(C1892="",C1892=T$4),NA(),MATCH($B1892&amp;$C1892,'Smelter Reference List'!$J:$J,0))</f>
        <v>442</v>
      </c>
      <c r="T1892" s="278"/>
      <c r="U1892" s="278"/>
      <c r="V1892" s="278"/>
      <c r="W1892" s="278"/>
    </row>
    <row r="1893" spans="1:23" s="269" customFormat="1" ht="20.25">
      <c r="A1893" s="267"/>
      <c r="B1893" s="275" t="s">
        <v>2437</v>
      </c>
      <c r="C1893" s="275" t="s">
        <v>3831</v>
      </c>
      <c r="D1893" s="168" t="s">
        <v>6554</v>
      </c>
      <c r="E1893" s="168" t="s">
        <v>1825</v>
      </c>
      <c r="F1893" s="168" t="s">
        <v>4623</v>
      </c>
      <c r="G1893" s="168" t="s">
        <v>4623</v>
      </c>
      <c r="H1893" s="292" t="s">
        <v>7612</v>
      </c>
      <c r="I1893" s="293" t="s">
        <v>5811</v>
      </c>
      <c r="J1893" s="293" t="s">
        <v>4623</v>
      </c>
      <c r="K1893" s="290" t="s">
        <v>4623</v>
      </c>
      <c r="L1893" s="290" t="s">
        <v>4623</v>
      </c>
      <c r="M1893" s="290" t="s">
        <v>4623</v>
      </c>
      <c r="N1893" s="290" t="s">
        <v>4623</v>
      </c>
      <c r="O1893" s="290" t="s">
        <v>4623</v>
      </c>
      <c r="P1893" s="290" t="s">
        <v>999</v>
      </c>
      <c r="Q1893" s="291" t="s">
        <v>4623</v>
      </c>
      <c r="R1893" s="276"/>
      <c r="S1893" s="277">
        <f>IF(OR(C1893="",C1893=T$4),NA(),MATCH($B1893&amp;$C1893,'Smelter Reference List'!$J:$J,0))</f>
        <v>442</v>
      </c>
      <c r="T1893" s="278"/>
      <c r="U1893" s="278"/>
      <c r="V1893" s="278"/>
      <c r="W1893" s="278"/>
    </row>
    <row r="1894" spans="1:23" s="269" customFormat="1" ht="20.25">
      <c r="A1894" s="267"/>
      <c r="B1894" s="275" t="s">
        <v>2437</v>
      </c>
      <c r="C1894" s="275" t="s">
        <v>3831</v>
      </c>
      <c r="D1894" s="168" t="s">
        <v>7613</v>
      </c>
      <c r="E1894" s="168" t="s">
        <v>1825</v>
      </c>
      <c r="F1894" s="168" t="s">
        <v>4623</v>
      </c>
      <c r="G1894" s="168" t="s">
        <v>4623</v>
      </c>
      <c r="H1894" s="292" t="s">
        <v>4623</v>
      </c>
      <c r="I1894" s="293" t="s">
        <v>4623</v>
      </c>
      <c r="J1894" s="293" t="s">
        <v>4623</v>
      </c>
      <c r="K1894" s="290" t="s">
        <v>4623</v>
      </c>
      <c r="L1894" s="290" t="s">
        <v>4623</v>
      </c>
      <c r="M1894" s="290" t="s">
        <v>4623</v>
      </c>
      <c r="N1894" s="290" t="s">
        <v>4623</v>
      </c>
      <c r="O1894" s="290" t="s">
        <v>4623</v>
      </c>
      <c r="P1894" s="290" t="s">
        <v>999</v>
      </c>
      <c r="Q1894" s="291" t="s">
        <v>4623</v>
      </c>
      <c r="R1894" s="276"/>
      <c r="S1894" s="277">
        <f>IF(OR(C1894="",C1894=T$4),NA(),MATCH($B1894&amp;$C1894,'Smelter Reference List'!$J:$J,0))</f>
        <v>442</v>
      </c>
      <c r="T1894" s="278"/>
      <c r="U1894" s="278"/>
      <c r="V1894" s="278"/>
      <c r="W1894" s="278"/>
    </row>
    <row r="1895" spans="1:23" s="269" customFormat="1" ht="20.25">
      <c r="A1895" s="267"/>
      <c r="B1895" s="275" t="s">
        <v>2437</v>
      </c>
      <c r="C1895" s="275" t="s">
        <v>3831</v>
      </c>
      <c r="D1895" s="168" t="s">
        <v>7614</v>
      </c>
      <c r="E1895" s="168" t="s">
        <v>1825</v>
      </c>
      <c r="F1895" s="168" t="s">
        <v>4623</v>
      </c>
      <c r="G1895" s="168" t="s">
        <v>4623</v>
      </c>
      <c r="H1895" s="292" t="s">
        <v>7615</v>
      </c>
      <c r="I1895" s="293" t="s">
        <v>7616</v>
      </c>
      <c r="J1895" s="293" t="s">
        <v>7617</v>
      </c>
      <c r="K1895" s="290" t="s">
        <v>4623</v>
      </c>
      <c r="L1895" s="290" t="s">
        <v>4623</v>
      </c>
      <c r="M1895" s="290" t="s">
        <v>4623</v>
      </c>
      <c r="N1895" s="290" t="s">
        <v>4623</v>
      </c>
      <c r="O1895" s="290" t="s">
        <v>4623</v>
      </c>
      <c r="P1895" s="290" t="s">
        <v>999</v>
      </c>
      <c r="Q1895" s="291" t="s">
        <v>4623</v>
      </c>
      <c r="R1895" s="276"/>
      <c r="S1895" s="277">
        <f>IF(OR(C1895="",C1895=T$4),NA(),MATCH($B1895&amp;$C1895,'Smelter Reference List'!$J:$J,0))</f>
        <v>442</v>
      </c>
      <c r="T1895" s="278"/>
      <c r="U1895" s="278"/>
      <c r="V1895" s="278"/>
      <c r="W1895" s="278"/>
    </row>
    <row r="1896" spans="1:23" s="269" customFormat="1" ht="20.25">
      <c r="A1896" s="267"/>
      <c r="B1896" s="275" t="s">
        <v>2437</v>
      </c>
      <c r="C1896" s="275" t="s">
        <v>3831</v>
      </c>
      <c r="D1896" s="168" t="s">
        <v>7618</v>
      </c>
      <c r="E1896" s="168" t="s">
        <v>1825</v>
      </c>
      <c r="F1896" s="168" t="s">
        <v>4623</v>
      </c>
      <c r="G1896" s="168" t="s">
        <v>4623</v>
      </c>
      <c r="H1896" s="292" t="s">
        <v>4623</v>
      </c>
      <c r="I1896" s="293" t="s">
        <v>4623</v>
      </c>
      <c r="J1896" s="293" t="s">
        <v>4623</v>
      </c>
      <c r="K1896" s="290" t="s">
        <v>4623</v>
      </c>
      <c r="L1896" s="290" t="s">
        <v>4623</v>
      </c>
      <c r="M1896" s="290" t="s">
        <v>4623</v>
      </c>
      <c r="N1896" s="290" t="s">
        <v>4623</v>
      </c>
      <c r="O1896" s="290" t="s">
        <v>4623</v>
      </c>
      <c r="P1896" s="290" t="s">
        <v>999</v>
      </c>
      <c r="Q1896" s="291" t="s">
        <v>4623</v>
      </c>
      <c r="R1896" s="276"/>
      <c r="S1896" s="277">
        <f>IF(OR(C1896="",C1896=T$4),NA(),MATCH($B1896&amp;$C1896,'Smelter Reference List'!$J:$J,0))</f>
        <v>442</v>
      </c>
      <c r="T1896" s="278"/>
      <c r="U1896" s="278"/>
      <c r="V1896" s="278"/>
      <c r="W1896" s="278"/>
    </row>
    <row r="1897" spans="1:23" s="269" customFormat="1" ht="20.25">
      <c r="A1897" s="267"/>
      <c r="B1897" s="275" t="s">
        <v>2437</v>
      </c>
      <c r="C1897" s="275" t="s">
        <v>3831</v>
      </c>
      <c r="D1897" s="168" t="s">
        <v>7619</v>
      </c>
      <c r="E1897" s="168" t="s">
        <v>1825</v>
      </c>
      <c r="F1897" s="168" t="s">
        <v>4623</v>
      </c>
      <c r="G1897" s="168" t="s">
        <v>4623</v>
      </c>
      <c r="H1897" s="292" t="s">
        <v>4623</v>
      </c>
      <c r="I1897" s="293" t="s">
        <v>4623</v>
      </c>
      <c r="J1897" s="293" t="s">
        <v>4623</v>
      </c>
      <c r="K1897" s="290" t="s">
        <v>4623</v>
      </c>
      <c r="L1897" s="290" t="s">
        <v>4623</v>
      </c>
      <c r="M1897" s="290" t="s">
        <v>4623</v>
      </c>
      <c r="N1897" s="290" t="s">
        <v>4623</v>
      </c>
      <c r="O1897" s="290" t="s">
        <v>4623</v>
      </c>
      <c r="P1897" s="290" t="s">
        <v>999</v>
      </c>
      <c r="Q1897" s="291" t="s">
        <v>4623</v>
      </c>
      <c r="R1897" s="276"/>
      <c r="S1897" s="277">
        <f>IF(OR(C1897="",C1897=T$4),NA(),MATCH($B1897&amp;$C1897,'Smelter Reference List'!$J:$J,0))</f>
        <v>442</v>
      </c>
      <c r="T1897" s="278"/>
      <c r="U1897" s="278"/>
      <c r="V1897" s="278"/>
      <c r="W1897" s="278"/>
    </row>
    <row r="1898" spans="1:23" s="269" customFormat="1" ht="20.25">
      <c r="A1898" s="267"/>
      <c r="B1898" s="275" t="s">
        <v>2437</v>
      </c>
      <c r="C1898" s="275" t="s">
        <v>3831</v>
      </c>
      <c r="D1898" s="168" t="s">
        <v>7620</v>
      </c>
      <c r="E1898" s="168" t="s">
        <v>1825</v>
      </c>
      <c r="F1898" s="168" t="s">
        <v>4623</v>
      </c>
      <c r="G1898" s="168" t="s">
        <v>4623</v>
      </c>
      <c r="H1898" s="292" t="s">
        <v>7621</v>
      </c>
      <c r="I1898" s="293" t="s">
        <v>5810</v>
      </c>
      <c r="J1898" s="293" t="s">
        <v>5811</v>
      </c>
      <c r="K1898" s="290" t="s">
        <v>4623</v>
      </c>
      <c r="L1898" s="290" t="s">
        <v>4623</v>
      </c>
      <c r="M1898" s="290" t="s">
        <v>4623</v>
      </c>
      <c r="N1898" s="290" t="s">
        <v>4623</v>
      </c>
      <c r="O1898" s="290" t="s">
        <v>4623</v>
      </c>
      <c r="P1898" s="290" t="s">
        <v>999</v>
      </c>
      <c r="Q1898" s="291" t="s">
        <v>4623</v>
      </c>
      <c r="R1898" s="276"/>
      <c r="S1898" s="277">
        <f>IF(OR(C1898="",C1898=T$4),NA(),MATCH($B1898&amp;$C1898,'Smelter Reference List'!$J:$J,0))</f>
        <v>442</v>
      </c>
      <c r="T1898" s="278"/>
      <c r="U1898" s="278"/>
      <c r="V1898" s="278"/>
      <c r="W1898" s="278"/>
    </row>
    <row r="1899" spans="1:23" s="269" customFormat="1" ht="20.25">
      <c r="A1899" s="267"/>
      <c r="B1899" s="275" t="s">
        <v>2437</v>
      </c>
      <c r="C1899" s="275" t="s">
        <v>3831</v>
      </c>
      <c r="D1899" s="168" t="s">
        <v>7622</v>
      </c>
      <c r="E1899" s="168" t="s">
        <v>1825</v>
      </c>
      <c r="F1899" s="168" t="s">
        <v>4623</v>
      </c>
      <c r="G1899" s="168" t="s">
        <v>4623</v>
      </c>
      <c r="H1899" s="292" t="s">
        <v>4623</v>
      </c>
      <c r="I1899" s="293" t="s">
        <v>4623</v>
      </c>
      <c r="J1899" s="293" t="s">
        <v>4623</v>
      </c>
      <c r="K1899" s="290" t="s">
        <v>4623</v>
      </c>
      <c r="L1899" s="290" t="s">
        <v>4623</v>
      </c>
      <c r="M1899" s="290" t="s">
        <v>4623</v>
      </c>
      <c r="N1899" s="290" t="s">
        <v>4623</v>
      </c>
      <c r="O1899" s="290" t="s">
        <v>4623</v>
      </c>
      <c r="P1899" s="290" t="s">
        <v>999</v>
      </c>
      <c r="Q1899" s="291" t="s">
        <v>4623</v>
      </c>
      <c r="R1899" s="276"/>
      <c r="S1899" s="277">
        <f>IF(OR(C1899="",C1899=T$4),NA(),MATCH($B1899&amp;$C1899,'Smelter Reference List'!$J:$J,0))</f>
        <v>442</v>
      </c>
      <c r="T1899" s="278"/>
      <c r="U1899" s="278"/>
      <c r="V1899" s="278"/>
      <c r="W1899" s="278"/>
    </row>
    <row r="1900" spans="1:23" s="269" customFormat="1" ht="20.25">
      <c r="A1900" s="267"/>
      <c r="B1900" s="275" t="s">
        <v>2437</v>
      </c>
      <c r="C1900" s="275" t="s">
        <v>3831</v>
      </c>
      <c r="D1900" s="168" t="s">
        <v>4560</v>
      </c>
      <c r="E1900" s="168" t="s">
        <v>1830</v>
      </c>
      <c r="F1900" s="168" t="s">
        <v>4623</v>
      </c>
      <c r="G1900" s="168" t="s">
        <v>4623</v>
      </c>
      <c r="H1900" s="292" t="s">
        <v>4623</v>
      </c>
      <c r="I1900" s="293" t="s">
        <v>4623</v>
      </c>
      <c r="J1900" s="293" t="s">
        <v>4623</v>
      </c>
      <c r="K1900" s="290" t="s">
        <v>4623</v>
      </c>
      <c r="L1900" s="290" t="s">
        <v>4623</v>
      </c>
      <c r="M1900" s="290" t="s">
        <v>4623</v>
      </c>
      <c r="N1900" s="290" t="s">
        <v>4623</v>
      </c>
      <c r="O1900" s="290" t="s">
        <v>4623</v>
      </c>
      <c r="P1900" s="290" t="s">
        <v>999</v>
      </c>
      <c r="Q1900" s="291" t="s">
        <v>4623</v>
      </c>
      <c r="R1900" s="276"/>
      <c r="S1900" s="277">
        <f>IF(OR(C1900="",C1900=T$4),NA(),MATCH($B1900&amp;$C1900,'Smelter Reference List'!$J:$J,0))</f>
        <v>442</v>
      </c>
      <c r="T1900" s="278"/>
      <c r="U1900" s="278"/>
      <c r="V1900" s="278"/>
      <c r="W1900" s="278"/>
    </row>
    <row r="1901" spans="1:23" s="269" customFormat="1" ht="20.25">
      <c r="A1901" s="267"/>
      <c r="B1901" s="275" t="s">
        <v>2437</v>
      </c>
      <c r="C1901" s="275" t="s">
        <v>3831</v>
      </c>
      <c r="D1901" s="168" t="s">
        <v>7623</v>
      </c>
      <c r="E1901" s="168" t="s">
        <v>1830</v>
      </c>
      <c r="F1901" s="168" t="s">
        <v>4623</v>
      </c>
      <c r="G1901" s="168" t="s">
        <v>4623</v>
      </c>
      <c r="H1901" s="292" t="s">
        <v>4623</v>
      </c>
      <c r="I1901" s="293" t="s">
        <v>4623</v>
      </c>
      <c r="J1901" s="293" t="s">
        <v>4623</v>
      </c>
      <c r="K1901" s="290" t="s">
        <v>4623</v>
      </c>
      <c r="L1901" s="290" t="s">
        <v>4623</v>
      </c>
      <c r="M1901" s="290" t="s">
        <v>4623</v>
      </c>
      <c r="N1901" s="290" t="s">
        <v>4623</v>
      </c>
      <c r="O1901" s="290" t="s">
        <v>4623</v>
      </c>
      <c r="P1901" s="290" t="s">
        <v>999</v>
      </c>
      <c r="Q1901" s="291" t="s">
        <v>4623</v>
      </c>
      <c r="R1901" s="276"/>
      <c r="S1901" s="277">
        <f>IF(OR(C1901="",C1901=T$4),NA(),MATCH($B1901&amp;$C1901,'Smelter Reference List'!$J:$J,0))</f>
        <v>442</v>
      </c>
      <c r="T1901" s="278"/>
      <c r="U1901" s="278"/>
      <c r="V1901" s="278"/>
      <c r="W1901" s="278"/>
    </row>
    <row r="1902" spans="1:23" s="269" customFormat="1" ht="20.25">
      <c r="A1902" s="267"/>
      <c r="B1902" s="275" t="s">
        <v>2437</v>
      </c>
      <c r="C1902" s="275" t="s">
        <v>3831</v>
      </c>
      <c r="D1902" s="168" t="s">
        <v>7624</v>
      </c>
      <c r="E1902" s="168" t="s">
        <v>1830</v>
      </c>
      <c r="F1902" s="168" t="s">
        <v>4623</v>
      </c>
      <c r="G1902" s="168" t="s">
        <v>4623</v>
      </c>
      <c r="H1902" s="292" t="s">
        <v>7625</v>
      </c>
      <c r="I1902" s="293" t="s">
        <v>4623</v>
      </c>
      <c r="J1902" s="293" t="s">
        <v>4623</v>
      </c>
      <c r="K1902" s="290" t="s">
        <v>7626</v>
      </c>
      <c r="L1902" s="290" t="s">
        <v>7627</v>
      </c>
      <c r="M1902" s="290" t="s">
        <v>4623</v>
      </c>
      <c r="N1902" s="290" t="s">
        <v>4623</v>
      </c>
      <c r="O1902" s="290" t="s">
        <v>4623</v>
      </c>
      <c r="P1902" s="290" t="s">
        <v>999</v>
      </c>
      <c r="Q1902" s="291" t="s">
        <v>4623</v>
      </c>
      <c r="R1902" s="276"/>
      <c r="S1902" s="277">
        <f>IF(OR(C1902="",C1902=T$4),NA(),MATCH($B1902&amp;$C1902,'Smelter Reference List'!$J:$J,0))</f>
        <v>442</v>
      </c>
      <c r="T1902" s="278"/>
      <c r="U1902" s="278"/>
      <c r="V1902" s="278"/>
      <c r="W1902" s="278"/>
    </row>
    <row r="1903" spans="1:23" s="269" customFormat="1" ht="20.25">
      <c r="A1903" s="267"/>
      <c r="B1903" s="275" t="s">
        <v>2437</v>
      </c>
      <c r="C1903" s="275" t="s">
        <v>3831</v>
      </c>
      <c r="D1903" s="168" t="s">
        <v>6786</v>
      </c>
      <c r="E1903" s="168" t="s">
        <v>1830</v>
      </c>
      <c r="F1903" s="168" t="s">
        <v>4623</v>
      </c>
      <c r="G1903" s="168" t="s">
        <v>4623</v>
      </c>
      <c r="H1903" s="292" t="s">
        <v>4623</v>
      </c>
      <c r="I1903" s="293" t="s">
        <v>4623</v>
      </c>
      <c r="J1903" s="293" t="s">
        <v>4623</v>
      </c>
      <c r="K1903" s="290" t="s">
        <v>4623</v>
      </c>
      <c r="L1903" s="290" t="s">
        <v>4623</v>
      </c>
      <c r="M1903" s="290" t="s">
        <v>4623</v>
      </c>
      <c r="N1903" s="290" t="s">
        <v>4623</v>
      </c>
      <c r="O1903" s="290" t="s">
        <v>4623</v>
      </c>
      <c r="P1903" s="290" t="s">
        <v>999</v>
      </c>
      <c r="Q1903" s="291" t="s">
        <v>4623</v>
      </c>
      <c r="R1903" s="276"/>
      <c r="S1903" s="277">
        <f>IF(OR(C1903="",C1903=T$4),NA(),MATCH($B1903&amp;$C1903,'Smelter Reference List'!$J:$J,0))</f>
        <v>442</v>
      </c>
      <c r="T1903" s="278"/>
      <c r="U1903" s="278"/>
      <c r="V1903" s="278"/>
      <c r="W1903" s="278"/>
    </row>
    <row r="1904" spans="1:23" s="269" customFormat="1" ht="20.25">
      <c r="A1904" s="267"/>
      <c r="B1904" s="275" t="s">
        <v>2437</v>
      </c>
      <c r="C1904" s="275" t="s">
        <v>3831</v>
      </c>
      <c r="D1904" s="168" t="s">
        <v>5580</v>
      </c>
      <c r="E1904" s="168" t="s">
        <v>1830</v>
      </c>
      <c r="F1904" s="168" t="s">
        <v>4623</v>
      </c>
      <c r="G1904" s="168" t="s">
        <v>4623</v>
      </c>
      <c r="H1904" s="292" t="s">
        <v>4623</v>
      </c>
      <c r="I1904" s="293" t="s">
        <v>3724</v>
      </c>
      <c r="J1904" s="293" t="s">
        <v>3725</v>
      </c>
      <c r="K1904" s="290" t="s">
        <v>4623</v>
      </c>
      <c r="L1904" s="290" t="s">
        <v>4623</v>
      </c>
      <c r="M1904" s="290" t="s">
        <v>4623</v>
      </c>
      <c r="N1904" s="290" t="s">
        <v>4623</v>
      </c>
      <c r="O1904" s="290" t="s">
        <v>4623</v>
      </c>
      <c r="P1904" s="290" t="s">
        <v>999</v>
      </c>
      <c r="Q1904" s="291" t="s">
        <v>4623</v>
      </c>
      <c r="R1904" s="276"/>
      <c r="S1904" s="277">
        <f>IF(OR(C1904="",C1904=T$4),NA(),MATCH($B1904&amp;$C1904,'Smelter Reference List'!$J:$J,0))</f>
        <v>442</v>
      </c>
      <c r="T1904" s="278"/>
      <c r="U1904" s="278"/>
      <c r="V1904" s="278"/>
      <c r="W1904" s="278"/>
    </row>
    <row r="1905" spans="1:23" s="269" customFormat="1" ht="20.25">
      <c r="A1905" s="267"/>
      <c r="B1905" s="275" t="s">
        <v>2437</v>
      </c>
      <c r="C1905" s="275" t="s">
        <v>3831</v>
      </c>
      <c r="D1905" s="168" t="s">
        <v>7628</v>
      </c>
      <c r="E1905" s="168" t="s">
        <v>1830</v>
      </c>
      <c r="F1905" s="168" t="s">
        <v>4623</v>
      </c>
      <c r="G1905" s="168" t="s">
        <v>4623</v>
      </c>
      <c r="H1905" s="292" t="s">
        <v>4623</v>
      </c>
      <c r="I1905" s="293" t="s">
        <v>4623</v>
      </c>
      <c r="J1905" s="293" t="s">
        <v>4623</v>
      </c>
      <c r="K1905" s="290" t="s">
        <v>4623</v>
      </c>
      <c r="L1905" s="290" t="s">
        <v>4623</v>
      </c>
      <c r="M1905" s="290" t="s">
        <v>4623</v>
      </c>
      <c r="N1905" s="290" t="s">
        <v>4623</v>
      </c>
      <c r="O1905" s="290" t="s">
        <v>4623</v>
      </c>
      <c r="P1905" s="290" t="s">
        <v>999</v>
      </c>
      <c r="Q1905" s="291" t="s">
        <v>4623</v>
      </c>
      <c r="R1905" s="276"/>
      <c r="S1905" s="277">
        <f>IF(OR(C1905="",C1905=T$4),NA(),MATCH($B1905&amp;$C1905,'Smelter Reference List'!$J:$J,0))</f>
        <v>442</v>
      </c>
      <c r="T1905" s="278"/>
      <c r="U1905" s="278"/>
      <c r="V1905" s="278"/>
      <c r="W1905" s="278"/>
    </row>
    <row r="1906" spans="1:23" s="269" customFormat="1" ht="20.25">
      <c r="A1906" s="267"/>
      <c r="B1906" s="275" t="s">
        <v>2437</v>
      </c>
      <c r="C1906" s="275" t="s">
        <v>3831</v>
      </c>
      <c r="D1906" s="168" t="s">
        <v>6849</v>
      </c>
      <c r="E1906" s="168" t="s">
        <v>1830</v>
      </c>
      <c r="F1906" s="168" t="s">
        <v>4623</v>
      </c>
      <c r="G1906" s="168" t="s">
        <v>4623</v>
      </c>
      <c r="H1906" s="292" t="s">
        <v>4623</v>
      </c>
      <c r="I1906" s="293" t="s">
        <v>4623</v>
      </c>
      <c r="J1906" s="293" t="s">
        <v>4623</v>
      </c>
      <c r="K1906" s="290" t="s">
        <v>4623</v>
      </c>
      <c r="L1906" s="290" t="s">
        <v>4623</v>
      </c>
      <c r="M1906" s="290" t="s">
        <v>4623</v>
      </c>
      <c r="N1906" s="290" t="s">
        <v>4623</v>
      </c>
      <c r="O1906" s="290" t="s">
        <v>4623</v>
      </c>
      <c r="P1906" s="290" t="s">
        <v>999</v>
      </c>
      <c r="Q1906" s="291" t="s">
        <v>4623</v>
      </c>
      <c r="R1906" s="276"/>
      <c r="S1906" s="277">
        <f>IF(OR(C1906="",C1906=T$4),NA(),MATCH($B1906&amp;$C1906,'Smelter Reference List'!$J:$J,0))</f>
        <v>442</v>
      </c>
      <c r="T1906" s="278"/>
      <c r="U1906" s="278"/>
      <c r="V1906" s="278"/>
      <c r="W1906" s="278"/>
    </row>
    <row r="1907" spans="1:23" s="269" customFormat="1" ht="20.25">
      <c r="A1907" s="267"/>
      <c r="B1907" s="275" t="s">
        <v>2437</v>
      </c>
      <c r="C1907" s="275" t="s">
        <v>3831</v>
      </c>
      <c r="D1907" s="168" t="s">
        <v>7629</v>
      </c>
      <c r="E1907" s="168" t="s">
        <v>1830</v>
      </c>
      <c r="F1907" s="168" t="s">
        <v>4623</v>
      </c>
      <c r="G1907" s="168" t="s">
        <v>4623</v>
      </c>
      <c r="H1907" s="292" t="s">
        <v>7630</v>
      </c>
      <c r="I1907" s="293" t="s">
        <v>3445</v>
      </c>
      <c r="J1907" s="293" t="s">
        <v>4623</v>
      </c>
      <c r="K1907" s="290" t="s">
        <v>7631</v>
      </c>
      <c r="L1907" s="290" t="s">
        <v>7632</v>
      </c>
      <c r="M1907" s="290" t="s">
        <v>4623</v>
      </c>
      <c r="N1907" s="290" t="s">
        <v>4623</v>
      </c>
      <c r="O1907" s="290" t="s">
        <v>4623</v>
      </c>
      <c r="P1907" s="290" t="s">
        <v>999</v>
      </c>
      <c r="Q1907" s="291" t="s">
        <v>4623</v>
      </c>
      <c r="R1907" s="276"/>
      <c r="S1907" s="277">
        <f>IF(OR(C1907="",C1907=T$4),NA(),MATCH($B1907&amp;$C1907,'Smelter Reference List'!$J:$J,0))</f>
        <v>442</v>
      </c>
      <c r="T1907" s="278"/>
      <c r="U1907" s="278"/>
      <c r="V1907" s="278"/>
      <c r="W1907" s="278"/>
    </row>
    <row r="1908" spans="1:23" s="269" customFormat="1" ht="20.25">
      <c r="A1908" s="267"/>
      <c r="B1908" s="275" t="s">
        <v>2437</v>
      </c>
      <c r="C1908" s="275" t="s">
        <v>3831</v>
      </c>
      <c r="D1908" s="168" t="s">
        <v>6895</v>
      </c>
      <c r="E1908" s="168" t="s">
        <v>1830</v>
      </c>
      <c r="F1908" s="168" t="s">
        <v>4623</v>
      </c>
      <c r="G1908" s="168" t="s">
        <v>4623</v>
      </c>
      <c r="H1908" s="292" t="s">
        <v>4623</v>
      </c>
      <c r="I1908" s="293" t="s">
        <v>4623</v>
      </c>
      <c r="J1908" s="293" t="s">
        <v>4623</v>
      </c>
      <c r="K1908" s="290" t="s">
        <v>4623</v>
      </c>
      <c r="L1908" s="290" t="s">
        <v>4623</v>
      </c>
      <c r="M1908" s="290" t="s">
        <v>4623</v>
      </c>
      <c r="N1908" s="290" t="s">
        <v>4623</v>
      </c>
      <c r="O1908" s="290" t="s">
        <v>4623</v>
      </c>
      <c r="P1908" s="290" t="s">
        <v>999</v>
      </c>
      <c r="Q1908" s="291" t="s">
        <v>4623</v>
      </c>
      <c r="R1908" s="276"/>
      <c r="S1908" s="277">
        <f>IF(OR(C1908="",C1908=T$4),NA(),MATCH($B1908&amp;$C1908,'Smelter Reference List'!$J:$J,0))</f>
        <v>442</v>
      </c>
      <c r="T1908" s="278"/>
      <c r="U1908" s="278"/>
      <c r="V1908" s="278"/>
      <c r="W1908" s="278"/>
    </row>
    <row r="1909" spans="1:23" s="269" customFormat="1" ht="20.25">
      <c r="A1909" s="267"/>
      <c r="B1909" s="275" t="s">
        <v>2437</v>
      </c>
      <c r="C1909" s="275" t="s">
        <v>3831</v>
      </c>
      <c r="D1909" s="168" t="s">
        <v>6897</v>
      </c>
      <c r="E1909" s="168" t="s">
        <v>1830</v>
      </c>
      <c r="F1909" s="168" t="s">
        <v>4623</v>
      </c>
      <c r="G1909" s="168" t="s">
        <v>4623</v>
      </c>
      <c r="H1909" s="292" t="s">
        <v>4623</v>
      </c>
      <c r="I1909" s="293" t="s">
        <v>4623</v>
      </c>
      <c r="J1909" s="293" t="s">
        <v>4623</v>
      </c>
      <c r="K1909" s="290" t="s">
        <v>4623</v>
      </c>
      <c r="L1909" s="290" t="s">
        <v>4623</v>
      </c>
      <c r="M1909" s="290" t="s">
        <v>4623</v>
      </c>
      <c r="N1909" s="290" t="s">
        <v>4623</v>
      </c>
      <c r="O1909" s="290" t="s">
        <v>4623</v>
      </c>
      <c r="P1909" s="290" t="s">
        <v>999</v>
      </c>
      <c r="Q1909" s="291" t="s">
        <v>4623</v>
      </c>
      <c r="R1909" s="276"/>
      <c r="S1909" s="277">
        <f>IF(OR(C1909="",C1909=T$4),NA(),MATCH($B1909&amp;$C1909,'Smelter Reference List'!$J:$J,0))</f>
        <v>442</v>
      </c>
      <c r="T1909" s="278"/>
      <c r="U1909" s="278"/>
      <c r="V1909" s="278"/>
      <c r="W1909" s="278"/>
    </row>
    <row r="1910" spans="1:23" s="269" customFormat="1" ht="20.25">
      <c r="A1910" s="267"/>
      <c r="B1910" s="275" t="s">
        <v>2437</v>
      </c>
      <c r="C1910" s="275" t="s">
        <v>3831</v>
      </c>
      <c r="D1910" s="168" t="s">
        <v>7633</v>
      </c>
      <c r="E1910" s="168" t="s">
        <v>1830</v>
      </c>
      <c r="F1910" s="168" t="s">
        <v>4623</v>
      </c>
      <c r="G1910" s="168" t="s">
        <v>4623</v>
      </c>
      <c r="H1910" s="292" t="s">
        <v>4623</v>
      </c>
      <c r="I1910" s="293" t="s">
        <v>4623</v>
      </c>
      <c r="J1910" s="293" t="s">
        <v>4623</v>
      </c>
      <c r="K1910" s="290" t="s">
        <v>4623</v>
      </c>
      <c r="L1910" s="290" t="s">
        <v>4623</v>
      </c>
      <c r="M1910" s="290" t="s">
        <v>4623</v>
      </c>
      <c r="N1910" s="290" t="s">
        <v>4623</v>
      </c>
      <c r="O1910" s="290" t="s">
        <v>4623</v>
      </c>
      <c r="P1910" s="290" t="s">
        <v>999</v>
      </c>
      <c r="Q1910" s="291" t="s">
        <v>4623</v>
      </c>
      <c r="R1910" s="276"/>
      <c r="S1910" s="277">
        <f>IF(OR(C1910="",C1910=T$4),NA(),MATCH($B1910&amp;$C1910,'Smelter Reference List'!$J:$J,0))</f>
        <v>442</v>
      </c>
      <c r="T1910" s="278"/>
      <c r="U1910" s="278"/>
      <c r="V1910" s="278"/>
      <c r="W1910" s="278"/>
    </row>
    <row r="1911" spans="1:23" s="269" customFormat="1" ht="20.25">
      <c r="A1911" s="267"/>
      <c r="B1911" s="275" t="s">
        <v>2437</v>
      </c>
      <c r="C1911" s="275" t="s">
        <v>3831</v>
      </c>
      <c r="D1911" s="168" t="s">
        <v>7634</v>
      </c>
      <c r="E1911" s="168" t="s">
        <v>2318</v>
      </c>
      <c r="F1911" s="168" t="s">
        <v>4623</v>
      </c>
      <c r="G1911" s="168" t="s">
        <v>4623</v>
      </c>
      <c r="H1911" s="292" t="s">
        <v>4623</v>
      </c>
      <c r="I1911" s="293" t="s">
        <v>4623</v>
      </c>
      <c r="J1911" s="293" t="s">
        <v>4623</v>
      </c>
      <c r="K1911" s="290" t="s">
        <v>4623</v>
      </c>
      <c r="L1911" s="290" t="s">
        <v>4623</v>
      </c>
      <c r="M1911" s="290" t="s">
        <v>4623</v>
      </c>
      <c r="N1911" s="290" t="s">
        <v>7635</v>
      </c>
      <c r="O1911" s="290" t="s">
        <v>4623</v>
      </c>
      <c r="P1911" s="290" t="s">
        <v>999</v>
      </c>
      <c r="Q1911" s="291" t="s">
        <v>4623</v>
      </c>
      <c r="R1911" s="276"/>
      <c r="S1911" s="277">
        <f>IF(OR(C1911="",C1911=T$4),NA(),MATCH($B1911&amp;$C1911,'Smelter Reference List'!$J:$J,0))</f>
        <v>442</v>
      </c>
      <c r="T1911" s="278"/>
      <c r="U1911" s="278"/>
      <c r="V1911" s="278"/>
      <c r="W1911" s="278"/>
    </row>
    <row r="1912" spans="1:23" s="269" customFormat="1" ht="20.25">
      <c r="A1912" s="267"/>
      <c r="B1912" s="275" t="s">
        <v>2437</v>
      </c>
      <c r="C1912" s="275" t="s">
        <v>3831</v>
      </c>
      <c r="D1912" s="168" t="s">
        <v>7636</v>
      </c>
      <c r="E1912" s="168" t="s">
        <v>2318</v>
      </c>
      <c r="F1912" s="168" t="s">
        <v>4623</v>
      </c>
      <c r="G1912" s="168" t="s">
        <v>4623</v>
      </c>
      <c r="H1912" s="292" t="s">
        <v>4623</v>
      </c>
      <c r="I1912" s="293" t="s">
        <v>4623</v>
      </c>
      <c r="J1912" s="293" t="s">
        <v>4623</v>
      </c>
      <c r="K1912" s="290" t="s">
        <v>4623</v>
      </c>
      <c r="L1912" s="290" t="s">
        <v>4623</v>
      </c>
      <c r="M1912" s="290" t="s">
        <v>4623</v>
      </c>
      <c r="N1912" s="290" t="s">
        <v>4623</v>
      </c>
      <c r="O1912" s="290" t="s">
        <v>4623</v>
      </c>
      <c r="P1912" s="290" t="s">
        <v>999</v>
      </c>
      <c r="Q1912" s="291" t="s">
        <v>4623</v>
      </c>
      <c r="R1912" s="276"/>
      <c r="S1912" s="277">
        <f>IF(OR(C1912="",C1912=T$4),NA(),MATCH($B1912&amp;$C1912,'Smelter Reference List'!$J:$J,0))</f>
        <v>442</v>
      </c>
      <c r="T1912" s="278"/>
      <c r="U1912" s="278"/>
      <c r="V1912" s="278"/>
      <c r="W1912" s="278"/>
    </row>
    <row r="1913" spans="1:23" s="269" customFormat="1" ht="20.25">
      <c r="A1913" s="267"/>
      <c r="B1913" s="275" t="s">
        <v>2437</v>
      </c>
      <c r="C1913" s="275" t="s">
        <v>3831</v>
      </c>
      <c r="D1913" s="168" t="s">
        <v>7131</v>
      </c>
      <c r="E1913" s="168" t="s">
        <v>2318</v>
      </c>
      <c r="F1913" s="168" t="s">
        <v>4623</v>
      </c>
      <c r="G1913" s="168" t="s">
        <v>4623</v>
      </c>
      <c r="H1913" s="292" t="s">
        <v>4623</v>
      </c>
      <c r="I1913" s="293" t="s">
        <v>4623</v>
      </c>
      <c r="J1913" s="293" t="s">
        <v>4623</v>
      </c>
      <c r="K1913" s="290" t="s">
        <v>4623</v>
      </c>
      <c r="L1913" s="290" t="s">
        <v>4623</v>
      </c>
      <c r="M1913" s="290" t="s">
        <v>4623</v>
      </c>
      <c r="N1913" s="290" t="s">
        <v>4667</v>
      </c>
      <c r="O1913" s="290" t="s">
        <v>5000</v>
      </c>
      <c r="P1913" s="290" t="s">
        <v>999</v>
      </c>
      <c r="Q1913" s="291" t="s">
        <v>4623</v>
      </c>
      <c r="R1913" s="276"/>
      <c r="S1913" s="277">
        <f>IF(OR(C1913="",C1913=T$4),NA(),MATCH($B1913&amp;$C1913,'Smelter Reference List'!$J:$J,0))</f>
        <v>442</v>
      </c>
      <c r="T1913" s="278"/>
      <c r="U1913" s="278"/>
      <c r="V1913" s="278"/>
      <c r="W1913" s="278"/>
    </row>
    <row r="1914" spans="1:23" s="269" customFormat="1" ht="20.25">
      <c r="A1914" s="267"/>
      <c r="B1914" s="275" t="s">
        <v>2437</v>
      </c>
      <c r="C1914" s="275" t="s">
        <v>3831</v>
      </c>
      <c r="D1914" s="168" t="s">
        <v>7637</v>
      </c>
      <c r="E1914" s="168" t="s">
        <v>2318</v>
      </c>
      <c r="F1914" s="168" t="s">
        <v>4623</v>
      </c>
      <c r="G1914" s="168" t="s">
        <v>4623</v>
      </c>
      <c r="H1914" s="292" t="s">
        <v>4623</v>
      </c>
      <c r="I1914" s="293" t="s">
        <v>4623</v>
      </c>
      <c r="J1914" s="293" t="s">
        <v>4623</v>
      </c>
      <c r="K1914" s="290" t="s">
        <v>4623</v>
      </c>
      <c r="L1914" s="290" t="s">
        <v>4623</v>
      </c>
      <c r="M1914" s="290" t="s">
        <v>4623</v>
      </c>
      <c r="N1914" s="290" t="s">
        <v>5000</v>
      </c>
      <c r="O1914" s="290" t="s">
        <v>5000</v>
      </c>
      <c r="P1914" s="290" t="s">
        <v>999</v>
      </c>
      <c r="Q1914" s="291" t="s">
        <v>4623</v>
      </c>
      <c r="R1914" s="276"/>
      <c r="S1914" s="277">
        <f>IF(OR(C1914="",C1914=T$4),NA(),MATCH($B1914&amp;$C1914,'Smelter Reference List'!$J:$J,0))</f>
        <v>442</v>
      </c>
      <c r="T1914" s="278"/>
      <c r="U1914" s="278"/>
      <c r="V1914" s="278"/>
      <c r="W1914" s="278"/>
    </row>
    <row r="1915" spans="1:23" s="269" customFormat="1" ht="20.25">
      <c r="A1915" s="267"/>
      <c r="B1915" s="275" t="s">
        <v>2437</v>
      </c>
      <c r="C1915" s="275" t="s">
        <v>3831</v>
      </c>
      <c r="D1915" s="168" t="s">
        <v>7638</v>
      </c>
      <c r="E1915" s="168" t="s">
        <v>2318</v>
      </c>
      <c r="F1915" s="168" t="s">
        <v>4623</v>
      </c>
      <c r="G1915" s="168" t="s">
        <v>4623</v>
      </c>
      <c r="H1915" s="292" t="s">
        <v>4623</v>
      </c>
      <c r="I1915" s="293" t="s">
        <v>4623</v>
      </c>
      <c r="J1915" s="293" t="s">
        <v>4623</v>
      </c>
      <c r="K1915" s="290" t="s">
        <v>4623</v>
      </c>
      <c r="L1915" s="290" t="s">
        <v>4623</v>
      </c>
      <c r="M1915" s="290" t="s">
        <v>4623</v>
      </c>
      <c r="N1915" s="290" t="s">
        <v>7639</v>
      </c>
      <c r="O1915" s="290" t="s">
        <v>4623</v>
      </c>
      <c r="P1915" s="290" t="s">
        <v>999</v>
      </c>
      <c r="Q1915" s="291" t="s">
        <v>4623</v>
      </c>
      <c r="R1915" s="276"/>
      <c r="S1915" s="277">
        <f>IF(OR(C1915="",C1915=T$4),NA(),MATCH($B1915&amp;$C1915,'Smelter Reference List'!$J:$J,0))</f>
        <v>442</v>
      </c>
      <c r="T1915" s="278"/>
      <c r="U1915" s="278"/>
      <c r="V1915" s="278"/>
      <c r="W1915" s="278"/>
    </row>
    <row r="1916" spans="1:23" s="269" customFormat="1" ht="20.25">
      <c r="A1916" s="267"/>
      <c r="B1916" s="275" t="s">
        <v>2437</v>
      </c>
      <c r="C1916" s="275" t="s">
        <v>3831</v>
      </c>
      <c r="D1916" s="168" t="s">
        <v>7640</v>
      </c>
      <c r="E1916" s="168" t="s">
        <v>2318</v>
      </c>
      <c r="F1916" s="168" t="s">
        <v>4623</v>
      </c>
      <c r="G1916" s="168" t="s">
        <v>4623</v>
      </c>
      <c r="H1916" s="292" t="s">
        <v>7641</v>
      </c>
      <c r="I1916" s="293" t="s">
        <v>7642</v>
      </c>
      <c r="J1916" s="293" t="s">
        <v>7643</v>
      </c>
      <c r="K1916" s="290" t="s">
        <v>7644</v>
      </c>
      <c r="L1916" s="290" t="s">
        <v>7645</v>
      </c>
      <c r="M1916" s="290" t="s">
        <v>4623</v>
      </c>
      <c r="N1916" s="290" t="s">
        <v>4623</v>
      </c>
      <c r="O1916" s="290" t="s">
        <v>4623</v>
      </c>
      <c r="P1916" s="290" t="s">
        <v>999</v>
      </c>
      <c r="Q1916" s="291" t="s">
        <v>4623</v>
      </c>
      <c r="R1916" s="276"/>
      <c r="S1916" s="277">
        <f>IF(OR(C1916="",C1916=T$4),NA(),MATCH($B1916&amp;$C1916,'Smelter Reference List'!$J:$J,0))</f>
        <v>442</v>
      </c>
      <c r="T1916" s="278"/>
      <c r="U1916" s="278"/>
      <c r="V1916" s="278"/>
      <c r="W1916" s="278"/>
    </row>
    <row r="1917" spans="1:23" s="269" customFormat="1" ht="20.25">
      <c r="A1917" s="267"/>
      <c r="B1917" s="275" t="s">
        <v>2437</v>
      </c>
      <c r="C1917" s="275" t="s">
        <v>3831</v>
      </c>
      <c r="D1917" s="168" t="s">
        <v>7646</v>
      </c>
      <c r="E1917" s="168" t="s">
        <v>2318</v>
      </c>
      <c r="F1917" s="168" t="s">
        <v>4623</v>
      </c>
      <c r="G1917" s="168" t="s">
        <v>4623</v>
      </c>
      <c r="H1917" s="292" t="s">
        <v>4623</v>
      </c>
      <c r="I1917" s="293" t="s">
        <v>4623</v>
      </c>
      <c r="J1917" s="293" t="s">
        <v>4623</v>
      </c>
      <c r="K1917" s="290" t="s">
        <v>4623</v>
      </c>
      <c r="L1917" s="290" t="s">
        <v>4623</v>
      </c>
      <c r="M1917" s="290" t="s">
        <v>4623</v>
      </c>
      <c r="N1917" s="290" t="s">
        <v>6741</v>
      </c>
      <c r="O1917" s="290" t="s">
        <v>5000</v>
      </c>
      <c r="P1917" s="290" t="s">
        <v>999</v>
      </c>
      <c r="Q1917" s="291" t="s">
        <v>4623</v>
      </c>
      <c r="R1917" s="276"/>
      <c r="S1917" s="277">
        <f>IF(OR(C1917="",C1917=T$4),NA(),MATCH($B1917&amp;$C1917,'Smelter Reference List'!$J:$J,0))</f>
        <v>442</v>
      </c>
      <c r="T1917" s="278"/>
      <c r="U1917" s="278"/>
      <c r="V1917" s="278"/>
      <c r="W1917" s="278"/>
    </row>
    <row r="1918" spans="1:23" s="269" customFormat="1" ht="20.25">
      <c r="A1918" s="267"/>
      <c r="B1918" s="275" t="s">
        <v>2437</v>
      </c>
      <c r="C1918" s="275" t="s">
        <v>3831</v>
      </c>
      <c r="D1918" s="168" t="s">
        <v>7647</v>
      </c>
      <c r="E1918" s="168" t="s">
        <v>2318</v>
      </c>
      <c r="F1918" s="168" t="s">
        <v>4623</v>
      </c>
      <c r="G1918" s="168" t="s">
        <v>4623</v>
      </c>
      <c r="H1918" s="292" t="s">
        <v>4623</v>
      </c>
      <c r="I1918" s="293" t="s">
        <v>4623</v>
      </c>
      <c r="J1918" s="293" t="s">
        <v>4623</v>
      </c>
      <c r="K1918" s="290" t="s">
        <v>4623</v>
      </c>
      <c r="L1918" s="290" t="s">
        <v>4623</v>
      </c>
      <c r="M1918" s="290" t="s">
        <v>4623</v>
      </c>
      <c r="N1918" s="290" t="s">
        <v>4623</v>
      </c>
      <c r="O1918" s="290" t="s">
        <v>4623</v>
      </c>
      <c r="P1918" s="290" t="s">
        <v>999</v>
      </c>
      <c r="Q1918" s="291" t="s">
        <v>4623</v>
      </c>
      <c r="R1918" s="276"/>
      <c r="S1918" s="277">
        <f>IF(OR(C1918="",C1918=T$4),NA(),MATCH($B1918&amp;$C1918,'Smelter Reference List'!$J:$J,0))</f>
        <v>442</v>
      </c>
      <c r="T1918" s="278"/>
      <c r="U1918" s="278"/>
      <c r="V1918" s="278"/>
      <c r="W1918" s="278"/>
    </row>
    <row r="1919" spans="1:23" s="269" customFormat="1" ht="20.25">
      <c r="A1919" s="267"/>
      <c r="B1919" s="275" t="s">
        <v>2437</v>
      </c>
      <c r="C1919" s="275" t="s">
        <v>3831</v>
      </c>
      <c r="D1919" s="168" t="s">
        <v>6525</v>
      </c>
      <c r="E1919" s="168" t="s">
        <v>1844</v>
      </c>
      <c r="F1919" s="168" t="s">
        <v>4623</v>
      </c>
      <c r="G1919" s="168" t="s">
        <v>4623</v>
      </c>
      <c r="H1919" s="292" t="s">
        <v>4623</v>
      </c>
      <c r="I1919" s="293" t="s">
        <v>4623</v>
      </c>
      <c r="J1919" s="293" t="s">
        <v>4623</v>
      </c>
      <c r="K1919" s="290" t="s">
        <v>4623</v>
      </c>
      <c r="L1919" s="290" t="s">
        <v>4623</v>
      </c>
      <c r="M1919" s="290" t="s">
        <v>4623</v>
      </c>
      <c r="N1919" s="290" t="s">
        <v>4623</v>
      </c>
      <c r="O1919" s="290" t="s">
        <v>4623</v>
      </c>
      <c r="P1919" s="290" t="s">
        <v>999</v>
      </c>
      <c r="Q1919" s="291" t="s">
        <v>7648</v>
      </c>
      <c r="R1919" s="276"/>
      <c r="S1919" s="277">
        <f>IF(OR(C1919="",C1919=T$4),NA(),MATCH($B1919&amp;$C1919,'Smelter Reference List'!$J:$J,0))</f>
        <v>442</v>
      </c>
      <c r="T1919" s="278"/>
      <c r="U1919" s="278"/>
      <c r="V1919" s="278"/>
      <c r="W1919" s="278"/>
    </row>
    <row r="1920" spans="1:23" s="269" customFormat="1" ht="20.25">
      <c r="A1920" s="267"/>
      <c r="B1920" s="275" t="s">
        <v>2437</v>
      </c>
      <c r="C1920" s="275" t="s">
        <v>3831</v>
      </c>
      <c r="D1920" s="168" t="s">
        <v>7649</v>
      </c>
      <c r="E1920" s="168" t="s">
        <v>2292</v>
      </c>
      <c r="F1920" s="168" t="s">
        <v>4623</v>
      </c>
      <c r="G1920" s="168" t="s">
        <v>4623</v>
      </c>
      <c r="H1920" s="292" t="s">
        <v>4623</v>
      </c>
      <c r="I1920" s="293" t="s">
        <v>4623</v>
      </c>
      <c r="J1920" s="293" t="s">
        <v>4623</v>
      </c>
      <c r="K1920" s="290" t="s">
        <v>4623</v>
      </c>
      <c r="L1920" s="290" t="s">
        <v>4623</v>
      </c>
      <c r="M1920" s="290" t="s">
        <v>4623</v>
      </c>
      <c r="N1920" s="290" t="s">
        <v>4623</v>
      </c>
      <c r="O1920" s="290" t="s">
        <v>4623</v>
      </c>
      <c r="P1920" s="290" t="s">
        <v>999</v>
      </c>
      <c r="Q1920" s="291" t="s">
        <v>4623</v>
      </c>
      <c r="R1920" s="276"/>
      <c r="S1920" s="277">
        <f>IF(OR(C1920="",C1920=T$4),NA(),MATCH($B1920&amp;$C1920,'Smelter Reference List'!$J:$J,0))</f>
        <v>442</v>
      </c>
      <c r="T1920" s="278"/>
      <c r="U1920" s="278"/>
      <c r="V1920" s="278"/>
      <c r="W1920" s="278"/>
    </row>
    <row r="1921" spans="1:23" s="269" customFormat="1" ht="20.25">
      <c r="A1921" s="267"/>
      <c r="B1921" s="275" t="s">
        <v>2437</v>
      </c>
      <c r="C1921" s="275" t="s">
        <v>3831</v>
      </c>
      <c r="D1921" s="168" t="s">
        <v>7650</v>
      </c>
      <c r="E1921" s="168" t="s">
        <v>2292</v>
      </c>
      <c r="F1921" s="168" t="s">
        <v>4623</v>
      </c>
      <c r="G1921" s="168" t="s">
        <v>4623</v>
      </c>
      <c r="H1921" s="292" t="s">
        <v>4623</v>
      </c>
      <c r="I1921" s="293" t="s">
        <v>4623</v>
      </c>
      <c r="J1921" s="293" t="s">
        <v>4623</v>
      </c>
      <c r="K1921" s="290" t="s">
        <v>4623</v>
      </c>
      <c r="L1921" s="290" t="s">
        <v>4623</v>
      </c>
      <c r="M1921" s="290" t="s">
        <v>4623</v>
      </c>
      <c r="N1921" s="290" t="s">
        <v>4623</v>
      </c>
      <c r="O1921" s="290" t="s">
        <v>4623</v>
      </c>
      <c r="P1921" s="290" t="s">
        <v>999</v>
      </c>
      <c r="Q1921" s="291" t="s">
        <v>4623</v>
      </c>
      <c r="R1921" s="276"/>
      <c r="S1921" s="277">
        <f>IF(OR(C1921="",C1921=T$4),NA(),MATCH($B1921&amp;$C1921,'Smelter Reference List'!$J:$J,0))</f>
        <v>442</v>
      </c>
      <c r="T1921" s="278"/>
      <c r="U1921" s="278"/>
      <c r="V1921" s="278"/>
      <c r="W1921" s="278"/>
    </row>
    <row r="1922" spans="1:23" s="269" customFormat="1" ht="20.25">
      <c r="A1922" s="267"/>
      <c r="B1922" s="275" t="s">
        <v>2437</v>
      </c>
      <c r="C1922" s="275" t="s">
        <v>3831</v>
      </c>
      <c r="D1922" s="168" t="s">
        <v>7651</v>
      </c>
      <c r="E1922" s="168" t="s">
        <v>2292</v>
      </c>
      <c r="F1922" s="168" t="s">
        <v>4623</v>
      </c>
      <c r="G1922" s="168" t="s">
        <v>4623</v>
      </c>
      <c r="H1922" s="292" t="s">
        <v>4623</v>
      </c>
      <c r="I1922" s="293" t="s">
        <v>4623</v>
      </c>
      <c r="J1922" s="293" t="s">
        <v>4623</v>
      </c>
      <c r="K1922" s="290" t="s">
        <v>4623</v>
      </c>
      <c r="L1922" s="290" t="s">
        <v>4623</v>
      </c>
      <c r="M1922" s="290" t="s">
        <v>4623</v>
      </c>
      <c r="N1922" s="290" t="s">
        <v>4623</v>
      </c>
      <c r="O1922" s="290" t="s">
        <v>4623</v>
      </c>
      <c r="P1922" s="290" t="s">
        <v>999</v>
      </c>
      <c r="Q1922" s="291" t="s">
        <v>4623</v>
      </c>
      <c r="R1922" s="276"/>
      <c r="S1922" s="277">
        <f>IF(OR(C1922="",C1922=T$4),NA(),MATCH($B1922&amp;$C1922,'Smelter Reference List'!$J:$J,0))</f>
        <v>442</v>
      </c>
      <c r="T1922" s="278"/>
      <c r="U1922" s="278"/>
      <c r="V1922" s="278"/>
      <c r="W1922" s="278"/>
    </row>
    <row r="1923" spans="1:23" s="269" customFormat="1" ht="20.25">
      <c r="A1923" s="267"/>
      <c r="B1923" s="275" t="s">
        <v>2437</v>
      </c>
      <c r="C1923" s="275" t="s">
        <v>3831</v>
      </c>
      <c r="D1923" s="168" t="s">
        <v>7652</v>
      </c>
      <c r="E1923" s="168" t="s">
        <v>2292</v>
      </c>
      <c r="F1923" s="168" t="s">
        <v>4623</v>
      </c>
      <c r="G1923" s="168" t="s">
        <v>4623</v>
      </c>
      <c r="H1923" s="292" t="s">
        <v>4623</v>
      </c>
      <c r="I1923" s="293" t="s">
        <v>4623</v>
      </c>
      <c r="J1923" s="293" t="s">
        <v>4623</v>
      </c>
      <c r="K1923" s="290" t="s">
        <v>4623</v>
      </c>
      <c r="L1923" s="290" t="s">
        <v>4623</v>
      </c>
      <c r="M1923" s="290" t="s">
        <v>4623</v>
      </c>
      <c r="N1923" s="290" t="s">
        <v>4623</v>
      </c>
      <c r="O1923" s="290" t="s">
        <v>4623</v>
      </c>
      <c r="P1923" s="290" t="s">
        <v>999</v>
      </c>
      <c r="Q1923" s="291" t="s">
        <v>4623</v>
      </c>
      <c r="R1923" s="276"/>
      <c r="S1923" s="277">
        <f>IF(OR(C1923="",C1923=T$4),NA(),MATCH($B1923&amp;$C1923,'Smelter Reference List'!$J:$J,0))</f>
        <v>442</v>
      </c>
      <c r="T1923" s="278"/>
      <c r="U1923" s="278"/>
      <c r="V1923" s="278"/>
      <c r="W1923" s="278"/>
    </row>
    <row r="1924" spans="1:23" s="269" customFormat="1" ht="20.25">
      <c r="A1924" s="267"/>
      <c r="B1924" s="275" t="s">
        <v>2437</v>
      </c>
      <c r="C1924" s="275" t="s">
        <v>3831</v>
      </c>
      <c r="D1924" s="168" t="s">
        <v>7653</v>
      </c>
      <c r="E1924" s="168" t="s">
        <v>2292</v>
      </c>
      <c r="F1924" s="168" t="s">
        <v>4623</v>
      </c>
      <c r="G1924" s="168" t="s">
        <v>4623</v>
      </c>
      <c r="H1924" s="292" t="s">
        <v>7654</v>
      </c>
      <c r="I1924" s="293" t="s">
        <v>5846</v>
      </c>
      <c r="J1924" s="293" t="s">
        <v>4623</v>
      </c>
      <c r="K1924" s="290" t="s">
        <v>7655</v>
      </c>
      <c r="L1924" s="290" t="s">
        <v>7656</v>
      </c>
      <c r="M1924" s="290" t="s">
        <v>4623</v>
      </c>
      <c r="N1924" s="290" t="s">
        <v>4623</v>
      </c>
      <c r="O1924" s="290" t="s">
        <v>4623</v>
      </c>
      <c r="P1924" s="290" t="s">
        <v>999</v>
      </c>
      <c r="Q1924" s="291" t="s">
        <v>4623</v>
      </c>
      <c r="R1924" s="276"/>
      <c r="S1924" s="277">
        <f>IF(OR(C1924="",C1924=T$4),NA(),MATCH($B1924&amp;$C1924,'Smelter Reference List'!$J:$J,0))</f>
        <v>442</v>
      </c>
      <c r="T1924" s="278"/>
      <c r="U1924" s="278"/>
      <c r="V1924" s="278"/>
      <c r="W1924" s="278"/>
    </row>
    <row r="1925" spans="1:23" s="269" customFormat="1" ht="20.25">
      <c r="A1925" s="267"/>
      <c r="B1925" s="275" t="s">
        <v>2437</v>
      </c>
      <c r="C1925" s="275" t="s">
        <v>3831</v>
      </c>
      <c r="D1925" s="168" t="s">
        <v>7657</v>
      </c>
      <c r="E1925" s="168" t="s">
        <v>2292</v>
      </c>
      <c r="F1925" s="168" t="s">
        <v>4623</v>
      </c>
      <c r="G1925" s="168" t="s">
        <v>4623</v>
      </c>
      <c r="H1925" s="292" t="s">
        <v>4623</v>
      </c>
      <c r="I1925" s="293" t="s">
        <v>4623</v>
      </c>
      <c r="J1925" s="293" t="s">
        <v>4623</v>
      </c>
      <c r="K1925" s="290" t="s">
        <v>4623</v>
      </c>
      <c r="L1925" s="290" t="s">
        <v>4623</v>
      </c>
      <c r="M1925" s="290" t="s">
        <v>4623</v>
      </c>
      <c r="N1925" s="290" t="s">
        <v>4623</v>
      </c>
      <c r="O1925" s="290" t="s">
        <v>4623</v>
      </c>
      <c r="P1925" s="290" t="s">
        <v>999</v>
      </c>
      <c r="Q1925" s="291" t="s">
        <v>4623</v>
      </c>
      <c r="R1925" s="276"/>
      <c r="S1925" s="277">
        <f>IF(OR(C1925="",C1925=T$4),NA(),MATCH($B1925&amp;$C1925,'Smelter Reference List'!$J:$J,0))</f>
        <v>442</v>
      </c>
      <c r="T1925" s="278"/>
      <c r="U1925" s="278"/>
      <c r="V1925" s="278"/>
      <c r="W1925" s="278"/>
    </row>
    <row r="1926" spans="1:23" s="269" customFormat="1" ht="20.25">
      <c r="A1926" s="267"/>
      <c r="B1926" s="275" t="s">
        <v>2437</v>
      </c>
      <c r="C1926" s="275" t="s">
        <v>3831</v>
      </c>
      <c r="D1926" s="168" t="s">
        <v>7658</v>
      </c>
      <c r="E1926" s="168" t="s">
        <v>2292</v>
      </c>
      <c r="F1926" s="168" t="s">
        <v>4623</v>
      </c>
      <c r="G1926" s="168" t="s">
        <v>4623</v>
      </c>
      <c r="H1926" s="292" t="s">
        <v>4623</v>
      </c>
      <c r="I1926" s="293" t="s">
        <v>4623</v>
      </c>
      <c r="J1926" s="293" t="s">
        <v>4623</v>
      </c>
      <c r="K1926" s="290" t="s">
        <v>4623</v>
      </c>
      <c r="L1926" s="290" t="s">
        <v>4623</v>
      </c>
      <c r="M1926" s="290" t="s">
        <v>4623</v>
      </c>
      <c r="N1926" s="290" t="s">
        <v>4623</v>
      </c>
      <c r="O1926" s="290" t="s">
        <v>4623</v>
      </c>
      <c r="P1926" s="290" t="s">
        <v>999</v>
      </c>
      <c r="Q1926" s="291" t="s">
        <v>4623</v>
      </c>
      <c r="R1926" s="276"/>
      <c r="S1926" s="277">
        <f>IF(OR(C1926="",C1926=T$4),NA(),MATCH($B1926&amp;$C1926,'Smelter Reference List'!$J:$J,0))</f>
        <v>442</v>
      </c>
      <c r="T1926" s="278"/>
      <c r="U1926" s="278"/>
      <c r="V1926" s="278"/>
      <c r="W1926" s="278"/>
    </row>
    <row r="1927" spans="1:23" s="269" customFormat="1" ht="20.25">
      <c r="A1927" s="267"/>
      <c r="B1927" s="275" t="s">
        <v>2437</v>
      </c>
      <c r="C1927" s="275" t="s">
        <v>3831</v>
      </c>
      <c r="D1927" s="168" t="s">
        <v>7659</v>
      </c>
      <c r="E1927" s="168" t="s">
        <v>1861</v>
      </c>
      <c r="F1927" s="168" t="s">
        <v>4623</v>
      </c>
      <c r="G1927" s="168" t="s">
        <v>4623</v>
      </c>
      <c r="H1927" s="292" t="s">
        <v>4623</v>
      </c>
      <c r="I1927" s="293" t="s">
        <v>4623</v>
      </c>
      <c r="J1927" s="293" t="s">
        <v>4623</v>
      </c>
      <c r="K1927" s="290" t="s">
        <v>4623</v>
      </c>
      <c r="L1927" s="290" t="s">
        <v>4623</v>
      </c>
      <c r="M1927" s="290" t="s">
        <v>4623</v>
      </c>
      <c r="N1927" s="290" t="s">
        <v>4623</v>
      </c>
      <c r="O1927" s="290" t="s">
        <v>4623</v>
      </c>
      <c r="P1927" s="290" t="s">
        <v>999</v>
      </c>
      <c r="Q1927" s="291" t="s">
        <v>4623</v>
      </c>
      <c r="R1927" s="276"/>
      <c r="S1927" s="277">
        <f>IF(OR(C1927="",C1927=T$4),NA(),MATCH($B1927&amp;$C1927,'Smelter Reference List'!$J:$J,0))</f>
        <v>442</v>
      </c>
      <c r="T1927" s="278"/>
      <c r="U1927" s="278"/>
      <c r="V1927" s="278"/>
      <c r="W1927" s="278"/>
    </row>
    <row r="1928" spans="1:23" s="269" customFormat="1" ht="20.25">
      <c r="A1928" s="267"/>
      <c r="B1928" s="275" t="s">
        <v>2437</v>
      </c>
      <c r="C1928" s="275" t="s">
        <v>3831</v>
      </c>
      <c r="D1928" s="168" t="s">
        <v>5613</v>
      </c>
      <c r="E1928" s="168" t="s">
        <v>1861</v>
      </c>
      <c r="F1928" s="168" t="s">
        <v>4623</v>
      </c>
      <c r="G1928" s="168" t="s">
        <v>4623</v>
      </c>
      <c r="H1928" s="292" t="s">
        <v>4623</v>
      </c>
      <c r="I1928" s="293" t="s">
        <v>4623</v>
      </c>
      <c r="J1928" s="293" t="s">
        <v>4623</v>
      </c>
      <c r="K1928" s="290" t="s">
        <v>4623</v>
      </c>
      <c r="L1928" s="290" t="s">
        <v>4623</v>
      </c>
      <c r="M1928" s="290" t="s">
        <v>4623</v>
      </c>
      <c r="N1928" s="290" t="s">
        <v>4623</v>
      </c>
      <c r="O1928" s="290" t="s">
        <v>4623</v>
      </c>
      <c r="P1928" s="290" t="s">
        <v>999</v>
      </c>
      <c r="Q1928" s="291" t="s">
        <v>4623</v>
      </c>
      <c r="R1928" s="276"/>
      <c r="S1928" s="277">
        <f>IF(OR(C1928="",C1928=T$4),NA(),MATCH($B1928&amp;$C1928,'Smelter Reference List'!$J:$J,0))</f>
        <v>442</v>
      </c>
      <c r="T1928" s="278"/>
      <c r="U1928" s="278"/>
      <c r="V1928" s="278"/>
      <c r="W1928" s="278"/>
    </row>
    <row r="1929" spans="1:23" s="269" customFormat="1" ht="20.25">
      <c r="A1929" s="267"/>
      <c r="B1929" s="275" t="s">
        <v>2437</v>
      </c>
      <c r="C1929" s="275" t="s">
        <v>3831</v>
      </c>
      <c r="D1929" s="168" t="s">
        <v>7660</v>
      </c>
      <c r="E1929" s="168" t="s">
        <v>1861</v>
      </c>
      <c r="F1929" s="168" t="s">
        <v>4623</v>
      </c>
      <c r="G1929" s="168" t="s">
        <v>4623</v>
      </c>
      <c r="H1929" s="292" t="s">
        <v>4623</v>
      </c>
      <c r="I1929" s="293" t="s">
        <v>4623</v>
      </c>
      <c r="J1929" s="293" t="s">
        <v>4623</v>
      </c>
      <c r="K1929" s="290" t="s">
        <v>4623</v>
      </c>
      <c r="L1929" s="290" t="s">
        <v>4623</v>
      </c>
      <c r="M1929" s="290" t="s">
        <v>4623</v>
      </c>
      <c r="N1929" s="290" t="s">
        <v>4623</v>
      </c>
      <c r="O1929" s="290" t="s">
        <v>4623</v>
      </c>
      <c r="P1929" s="290" t="s">
        <v>999</v>
      </c>
      <c r="Q1929" s="291" t="s">
        <v>4623</v>
      </c>
      <c r="R1929" s="276"/>
      <c r="S1929" s="277">
        <f>IF(OR(C1929="",C1929=T$4),NA(),MATCH($B1929&amp;$C1929,'Smelter Reference List'!$J:$J,0))</f>
        <v>442</v>
      </c>
      <c r="T1929" s="278"/>
      <c r="U1929" s="278"/>
      <c r="V1929" s="278"/>
      <c r="W1929" s="278"/>
    </row>
    <row r="1930" spans="1:23" s="269" customFormat="1" ht="20.25">
      <c r="A1930" s="267"/>
      <c r="B1930" s="275" t="s">
        <v>2437</v>
      </c>
      <c r="C1930" s="275" t="s">
        <v>3831</v>
      </c>
      <c r="D1930" s="168" t="s">
        <v>6502</v>
      </c>
      <c r="E1930" s="168" t="s">
        <v>1861</v>
      </c>
      <c r="F1930" s="168" t="s">
        <v>4623</v>
      </c>
      <c r="G1930" s="168" t="s">
        <v>4623</v>
      </c>
      <c r="H1930" s="292" t="s">
        <v>4623</v>
      </c>
      <c r="I1930" s="293" t="s">
        <v>4623</v>
      </c>
      <c r="J1930" s="293" t="s">
        <v>4623</v>
      </c>
      <c r="K1930" s="290" t="s">
        <v>4623</v>
      </c>
      <c r="L1930" s="290" t="s">
        <v>4623</v>
      </c>
      <c r="M1930" s="290" t="s">
        <v>4623</v>
      </c>
      <c r="N1930" s="290" t="s">
        <v>1005</v>
      </c>
      <c r="O1930" s="290" t="s">
        <v>4623</v>
      </c>
      <c r="P1930" s="290" t="s">
        <v>999</v>
      </c>
      <c r="Q1930" s="291" t="s">
        <v>4623</v>
      </c>
      <c r="R1930" s="276"/>
      <c r="S1930" s="277">
        <f>IF(OR(C1930="",C1930=T$4),NA(),MATCH($B1930&amp;$C1930,'Smelter Reference List'!$J:$J,0))</f>
        <v>442</v>
      </c>
      <c r="T1930" s="278"/>
      <c r="U1930" s="278"/>
      <c r="V1930" s="278"/>
      <c r="W1930" s="278"/>
    </row>
    <row r="1931" spans="1:23" s="269" customFormat="1" ht="20.25">
      <c r="A1931" s="267"/>
      <c r="B1931" s="275" t="s">
        <v>2437</v>
      </c>
      <c r="C1931" s="275" t="s">
        <v>3831</v>
      </c>
      <c r="D1931" s="168" t="s">
        <v>7661</v>
      </c>
      <c r="E1931" s="168" t="s">
        <v>1861</v>
      </c>
      <c r="F1931" s="168" t="s">
        <v>4623</v>
      </c>
      <c r="G1931" s="168" t="s">
        <v>4623</v>
      </c>
      <c r="H1931" s="292" t="s">
        <v>4623</v>
      </c>
      <c r="I1931" s="293" t="s">
        <v>4623</v>
      </c>
      <c r="J1931" s="293" t="s">
        <v>4623</v>
      </c>
      <c r="K1931" s="290" t="s">
        <v>4623</v>
      </c>
      <c r="L1931" s="290" t="s">
        <v>4623</v>
      </c>
      <c r="M1931" s="290" t="s">
        <v>4623</v>
      </c>
      <c r="N1931" s="290" t="s">
        <v>4623</v>
      </c>
      <c r="O1931" s="290" t="s">
        <v>4623</v>
      </c>
      <c r="P1931" s="290" t="s">
        <v>999</v>
      </c>
      <c r="Q1931" s="291" t="s">
        <v>4623</v>
      </c>
      <c r="R1931" s="276"/>
      <c r="S1931" s="277">
        <f>IF(OR(C1931="",C1931=T$4),NA(),MATCH($B1931&amp;$C1931,'Smelter Reference List'!$J:$J,0))</f>
        <v>442</v>
      </c>
      <c r="T1931" s="278"/>
      <c r="U1931" s="278"/>
      <c r="V1931" s="278"/>
      <c r="W1931" s="278"/>
    </row>
    <row r="1932" spans="1:23" s="269" customFormat="1" ht="20.25">
      <c r="A1932" s="267"/>
      <c r="B1932" s="275" t="s">
        <v>2437</v>
      </c>
      <c r="C1932" s="275" t="s">
        <v>3831</v>
      </c>
      <c r="D1932" s="168" t="s">
        <v>7662</v>
      </c>
      <c r="E1932" s="168" t="s">
        <v>1861</v>
      </c>
      <c r="F1932" s="168" t="s">
        <v>4623</v>
      </c>
      <c r="G1932" s="168" t="s">
        <v>4623</v>
      </c>
      <c r="H1932" s="292" t="s">
        <v>4623</v>
      </c>
      <c r="I1932" s="293" t="s">
        <v>4623</v>
      </c>
      <c r="J1932" s="293" t="s">
        <v>4623</v>
      </c>
      <c r="K1932" s="290" t="s">
        <v>4623</v>
      </c>
      <c r="L1932" s="290" t="s">
        <v>4623</v>
      </c>
      <c r="M1932" s="290" t="s">
        <v>4623</v>
      </c>
      <c r="N1932" s="290" t="s">
        <v>4623</v>
      </c>
      <c r="O1932" s="290" t="s">
        <v>4623</v>
      </c>
      <c r="P1932" s="290" t="s">
        <v>999</v>
      </c>
      <c r="Q1932" s="291" t="s">
        <v>4623</v>
      </c>
      <c r="R1932" s="276"/>
      <c r="S1932" s="277">
        <f>IF(OR(C1932="",C1932=T$4),NA(),MATCH($B1932&amp;$C1932,'Smelter Reference List'!$J:$J,0))</f>
        <v>442</v>
      </c>
      <c r="T1932" s="278"/>
      <c r="U1932" s="278"/>
      <c r="V1932" s="278"/>
      <c r="W1932" s="278"/>
    </row>
    <row r="1933" spans="1:23" s="269" customFormat="1" ht="20.25">
      <c r="A1933" s="267"/>
      <c r="B1933" s="275" t="s">
        <v>2437</v>
      </c>
      <c r="C1933" s="275" t="s">
        <v>3831</v>
      </c>
      <c r="D1933" s="168" t="s">
        <v>7094</v>
      </c>
      <c r="E1933" s="168" t="s">
        <v>1861</v>
      </c>
      <c r="F1933" s="168" t="s">
        <v>4623</v>
      </c>
      <c r="G1933" s="168" t="s">
        <v>4623</v>
      </c>
      <c r="H1933" s="292" t="s">
        <v>4623</v>
      </c>
      <c r="I1933" s="293" t="s">
        <v>4623</v>
      </c>
      <c r="J1933" s="293" t="s">
        <v>4623</v>
      </c>
      <c r="K1933" s="290" t="s">
        <v>4623</v>
      </c>
      <c r="L1933" s="290" t="s">
        <v>4623</v>
      </c>
      <c r="M1933" s="290" t="s">
        <v>4623</v>
      </c>
      <c r="N1933" s="290" t="s">
        <v>4623</v>
      </c>
      <c r="O1933" s="290" t="s">
        <v>4623</v>
      </c>
      <c r="P1933" s="290" t="s">
        <v>999</v>
      </c>
      <c r="Q1933" s="291" t="s">
        <v>4623</v>
      </c>
      <c r="R1933" s="276"/>
      <c r="S1933" s="277">
        <f>IF(OR(C1933="",C1933=T$4),NA(),MATCH($B1933&amp;$C1933,'Smelter Reference List'!$J:$J,0))</f>
        <v>442</v>
      </c>
      <c r="T1933" s="278"/>
      <c r="U1933" s="278"/>
      <c r="V1933" s="278"/>
      <c r="W1933" s="278"/>
    </row>
    <row r="1934" spans="1:23" s="269" customFormat="1" ht="20.25">
      <c r="A1934" s="267"/>
      <c r="B1934" s="275" t="s">
        <v>2437</v>
      </c>
      <c r="C1934" s="275" t="s">
        <v>3831</v>
      </c>
      <c r="D1934" s="168" t="s">
        <v>7663</v>
      </c>
      <c r="E1934" s="168" t="s">
        <v>1861</v>
      </c>
      <c r="F1934" s="168" t="s">
        <v>4623</v>
      </c>
      <c r="G1934" s="168" t="s">
        <v>4623</v>
      </c>
      <c r="H1934" s="292" t="s">
        <v>4623</v>
      </c>
      <c r="I1934" s="293" t="s">
        <v>7664</v>
      </c>
      <c r="J1934" s="293" t="s">
        <v>7665</v>
      </c>
      <c r="K1934" s="290" t="s">
        <v>4623</v>
      </c>
      <c r="L1934" s="290" t="s">
        <v>4623</v>
      </c>
      <c r="M1934" s="290" t="s">
        <v>4623</v>
      </c>
      <c r="N1934" s="290" t="s">
        <v>4623</v>
      </c>
      <c r="O1934" s="290" t="s">
        <v>4623</v>
      </c>
      <c r="P1934" s="290" t="s">
        <v>999</v>
      </c>
      <c r="Q1934" s="291" t="s">
        <v>4623</v>
      </c>
      <c r="R1934" s="276"/>
      <c r="S1934" s="277">
        <f>IF(OR(C1934="",C1934=T$4),NA(),MATCH($B1934&amp;$C1934,'Smelter Reference List'!$J:$J,0))</f>
        <v>442</v>
      </c>
      <c r="T1934" s="278"/>
      <c r="U1934" s="278"/>
      <c r="V1934" s="278"/>
      <c r="W1934" s="278"/>
    </row>
    <row r="1935" spans="1:23" s="269" customFormat="1" ht="20.25">
      <c r="A1935" s="267"/>
      <c r="B1935" s="275" t="s">
        <v>2437</v>
      </c>
      <c r="C1935" s="275" t="s">
        <v>3831</v>
      </c>
      <c r="D1935" s="168" t="s">
        <v>7666</v>
      </c>
      <c r="E1935" s="168" t="s">
        <v>1861</v>
      </c>
      <c r="F1935" s="168" t="s">
        <v>4623</v>
      </c>
      <c r="G1935" s="168" t="s">
        <v>4623</v>
      </c>
      <c r="H1935" s="292" t="s">
        <v>4623</v>
      </c>
      <c r="I1935" s="293" t="s">
        <v>4623</v>
      </c>
      <c r="J1935" s="293" t="s">
        <v>4623</v>
      </c>
      <c r="K1935" s="290" t="s">
        <v>4623</v>
      </c>
      <c r="L1935" s="290" t="s">
        <v>4623</v>
      </c>
      <c r="M1935" s="290" t="s">
        <v>4623</v>
      </c>
      <c r="N1935" s="290" t="s">
        <v>4623</v>
      </c>
      <c r="O1935" s="290" t="s">
        <v>4623</v>
      </c>
      <c r="P1935" s="290" t="s">
        <v>999</v>
      </c>
      <c r="Q1935" s="291" t="s">
        <v>4623</v>
      </c>
      <c r="R1935" s="276"/>
      <c r="S1935" s="277">
        <f>IF(OR(C1935="",C1935=T$4),NA(),MATCH($B1935&amp;$C1935,'Smelter Reference List'!$J:$J,0))</f>
        <v>442</v>
      </c>
      <c r="T1935" s="278"/>
      <c r="U1935" s="278"/>
      <c r="V1935" s="278"/>
      <c r="W1935" s="278"/>
    </row>
    <row r="1936" spans="1:23" s="269" customFormat="1" ht="20.25">
      <c r="A1936" s="267"/>
      <c r="B1936" s="275" t="s">
        <v>2437</v>
      </c>
      <c r="C1936" s="275" t="s">
        <v>3831</v>
      </c>
      <c r="D1936" s="168" t="s">
        <v>5853</v>
      </c>
      <c r="E1936" s="168" t="s">
        <v>1861</v>
      </c>
      <c r="F1936" s="168" t="s">
        <v>4623</v>
      </c>
      <c r="G1936" s="168" t="s">
        <v>4623</v>
      </c>
      <c r="H1936" s="292" t="s">
        <v>4623</v>
      </c>
      <c r="I1936" s="293" t="s">
        <v>4623</v>
      </c>
      <c r="J1936" s="293" t="s">
        <v>4623</v>
      </c>
      <c r="K1936" s="290" t="s">
        <v>4623</v>
      </c>
      <c r="L1936" s="290" t="s">
        <v>4623</v>
      </c>
      <c r="M1936" s="290" t="s">
        <v>4623</v>
      </c>
      <c r="N1936" s="290" t="s">
        <v>4623</v>
      </c>
      <c r="O1936" s="290" t="s">
        <v>4623</v>
      </c>
      <c r="P1936" s="290" t="s">
        <v>999</v>
      </c>
      <c r="Q1936" s="291" t="s">
        <v>4623</v>
      </c>
      <c r="R1936" s="276"/>
      <c r="S1936" s="277">
        <f>IF(OR(C1936="",C1936=T$4),NA(),MATCH($B1936&amp;$C1936,'Smelter Reference List'!$J:$J,0))</f>
        <v>442</v>
      </c>
      <c r="T1936" s="278"/>
      <c r="U1936" s="278"/>
      <c r="V1936" s="278"/>
      <c r="W1936" s="278"/>
    </row>
    <row r="1937" spans="1:23" s="269" customFormat="1" ht="20.25">
      <c r="A1937" s="267"/>
      <c r="B1937" s="275" t="s">
        <v>2437</v>
      </c>
      <c r="C1937" s="275" t="s">
        <v>3831</v>
      </c>
      <c r="D1937" s="168" t="s">
        <v>7667</v>
      </c>
      <c r="E1937" s="168" t="s">
        <v>1861</v>
      </c>
      <c r="F1937" s="168" t="s">
        <v>4623</v>
      </c>
      <c r="G1937" s="168" t="s">
        <v>4623</v>
      </c>
      <c r="H1937" s="292" t="s">
        <v>4623</v>
      </c>
      <c r="I1937" s="293" t="s">
        <v>4623</v>
      </c>
      <c r="J1937" s="293" t="s">
        <v>4623</v>
      </c>
      <c r="K1937" s="290" t="s">
        <v>4623</v>
      </c>
      <c r="L1937" s="290" t="s">
        <v>4623</v>
      </c>
      <c r="M1937" s="290" t="s">
        <v>4623</v>
      </c>
      <c r="N1937" s="290" t="s">
        <v>4623</v>
      </c>
      <c r="O1937" s="290" t="s">
        <v>4623</v>
      </c>
      <c r="P1937" s="290" t="s">
        <v>999</v>
      </c>
      <c r="Q1937" s="291" t="s">
        <v>4623</v>
      </c>
      <c r="R1937" s="276"/>
      <c r="S1937" s="277">
        <f>IF(OR(C1937="",C1937=T$4),NA(),MATCH($B1937&amp;$C1937,'Smelter Reference List'!$J:$J,0))</f>
        <v>442</v>
      </c>
      <c r="T1937" s="278"/>
      <c r="U1937" s="278"/>
      <c r="V1937" s="278"/>
      <c r="W1937" s="278"/>
    </row>
    <row r="1938" spans="1:23" s="269" customFormat="1" ht="20.25">
      <c r="A1938" s="267"/>
      <c r="B1938" s="275" t="s">
        <v>2437</v>
      </c>
      <c r="C1938" s="275" t="s">
        <v>3831</v>
      </c>
      <c r="D1938" s="168" t="s">
        <v>1611</v>
      </c>
      <c r="E1938" s="168" t="s">
        <v>1861</v>
      </c>
      <c r="F1938" s="168" t="s">
        <v>4623</v>
      </c>
      <c r="G1938" s="168" t="s">
        <v>4623</v>
      </c>
      <c r="H1938" s="292" t="s">
        <v>7668</v>
      </c>
      <c r="I1938" s="293" t="s">
        <v>7668</v>
      </c>
      <c r="J1938" s="293" t="s">
        <v>7669</v>
      </c>
      <c r="K1938" s="290" t="s">
        <v>7670</v>
      </c>
      <c r="L1938" s="290" t="s">
        <v>4769</v>
      </c>
      <c r="M1938" s="290" t="s">
        <v>4769</v>
      </c>
      <c r="N1938" s="290" t="s">
        <v>4667</v>
      </c>
      <c r="O1938" s="290" t="s">
        <v>7671</v>
      </c>
      <c r="P1938" s="290" t="s">
        <v>999</v>
      </c>
      <c r="Q1938" s="291" t="s">
        <v>4623</v>
      </c>
      <c r="R1938" s="276"/>
      <c r="S1938" s="277">
        <f>IF(OR(C1938="",C1938=T$4),NA(),MATCH($B1938&amp;$C1938,'Smelter Reference List'!$J:$J,0))</f>
        <v>442</v>
      </c>
      <c r="T1938" s="278"/>
      <c r="U1938" s="278"/>
      <c r="V1938" s="278"/>
      <c r="W1938" s="278"/>
    </row>
    <row r="1939" spans="1:23" s="269" customFormat="1" ht="20.25">
      <c r="A1939" s="267"/>
      <c r="B1939" s="275" t="s">
        <v>2437</v>
      </c>
      <c r="C1939" s="275" t="s">
        <v>3831</v>
      </c>
      <c r="D1939" s="168" t="s">
        <v>7672</v>
      </c>
      <c r="E1939" s="168" t="s">
        <v>1861</v>
      </c>
      <c r="F1939" s="168" t="s">
        <v>4623</v>
      </c>
      <c r="G1939" s="168" t="s">
        <v>4623</v>
      </c>
      <c r="H1939" s="292" t="s">
        <v>4623</v>
      </c>
      <c r="I1939" s="293" t="s">
        <v>4623</v>
      </c>
      <c r="J1939" s="293" t="s">
        <v>4623</v>
      </c>
      <c r="K1939" s="290" t="s">
        <v>4623</v>
      </c>
      <c r="L1939" s="290" t="s">
        <v>4623</v>
      </c>
      <c r="M1939" s="290" t="s">
        <v>4623</v>
      </c>
      <c r="N1939" s="290" t="s">
        <v>4623</v>
      </c>
      <c r="O1939" s="290" t="s">
        <v>5000</v>
      </c>
      <c r="P1939" s="290" t="s">
        <v>999</v>
      </c>
      <c r="Q1939" s="291" t="s">
        <v>4623</v>
      </c>
      <c r="R1939" s="276"/>
      <c r="S1939" s="277">
        <f>IF(OR(C1939="",C1939=T$4),NA(),MATCH($B1939&amp;$C1939,'Smelter Reference List'!$J:$J,0))</f>
        <v>442</v>
      </c>
      <c r="T1939" s="278"/>
      <c r="U1939" s="278"/>
      <c r="V1939" s="278"/>
      <c r="W1939" s="278"/>
    </row>
    <row r="1940" spans="1:23" s="269" customFormat="1" ht="20.25">
      <c r="A1940" s="267"/>
      <c r="B1940" s="275" t="s">
        <v>2437</v>
      </c>
      <c r="C1940" s="275" t="s">
        <v>3831</v>
      </c>
      <c r="D1940" s="168" t="s">
        <v>7673</v>
      </c>
      <c r="E1940" s="168" t="s">
        <v>1861</v>
      </c>
      <c r="F1940" s="168" t="s">
        <v>4623</v>
      </c>
      <c r="G1940" s="168" t="s">
        <v>4623</v>
      </c>
      <c r="H1940" s="292" t="s">
        <v>7674</v>
      </c>
      <c r="I1940" s="293" t="s">
        <v>7675</v>
      </c>
      <c r="J1940" s="293" t="s">
        <v>7676</v>
      </c>
      <c r="K1940" s="290" t="s">
        <v>7677</v>
      </c>
      <c r="L1940" s="290" t="s">
        <v>7678</v>
      </c>
      <c r="M1940" s="290" t="s">
        <v>4623</v>
      </c>
      <c r="N1940" s="290" t="s">
        <v>4628</v>
      </c>
      <c r="O1940" s="290" t="s">
        <v>4628</v>
      </c>
      <c r="P1940" s="290" t="s">
        <v>999</v>
      </c>
      <c r="Q1940" s="291" t="s">
        <v>4623</v>
      </c>
      <c r="R1940" s="276"/>
      <c r="S1940" s="277">
        <f>IF(OR(C1940="",C1940=T$4),NA(),MATCH($B1940&amp;$C1940,'Smelter Reference List'!$J:$J,0))</f>
        <v>442</v>
      </c>
      <c r="T1940" s="278"/>
      <c r="U1940" s="278"/>
      <c r="V1940" s="278"/>
      <c r="W1940" s="278"/>
    </row>
    <row r="1941" spans="1:23" s="269" customFormat="1" ht="20.25">
      <c r="A1941" s="267"/>
      <c r="B1941" s="275" t="s">
        <v>2437</v>
      </c>
      <c r="C1941" s="275" t="s">
        <v>3831</v>
      </c>
      <c r="D1941" s="168" t="s">
        <v>6580</v>
      </c>
      <c r="E1941" s="168" t="s">
        <v>1861</v>
      </c>
      <c r="F1941" s="168" t="s">
        <v>4623</v>
      </c>
      <c r="G1941" s="168" t="s">
        <v>4623</v>
      </c>
      <c r="H1941" s="292" t="s">
        <v>4623</v>
      </c>
      <c r="I1941" s="293" t="s">
        <v>4623</v>
      </c>
      <c r="J1941" s="293" t="s">
        <v>4623</v>
      </c>
      <c r="K1941" s="290" t="s">
        <v>4623</v>
      </c>
      <c r="L1941" s="290" t="s">
        <v>4623</v>
      </c>
      <c r="M1941" s="290" t="s">
        <v>4623</v>
      </c>
      <c r="N1941" s="290" t="s">
        <v>4623</v>
      </c>
      <c r="O1941" s="290" t="s">
        <v>4623</v>
      </c>
      <c r="P1941" s="290" t="s">
        <v>999</v>
      </c>
      <c r="Q1941" s="291" t="s">
        <v>4623</v>
      </c>
      <c r="R1941" s="276"/>
      <c r="S1941" s="277">
        <f>IF(OR(C1941="",C1941=T$4),NA(),MATCH($B1941&amp;$C1941,'Smelter Reference List'!$J:$J,0))</f>
        <v>442</v>
      </c>
      <c r="T1941" s="278"/>
      <c r="U1941" s="278"/>
      <c r="V1941" s="278"/>
      <c r="W1941" s="278"/>
    </row>
    <row r="1942" spans="1:23" s="269" customFormat="1" ht="20.25">
      <c r="A1942" s="267"/>
      <c r="B1942" s="275" t="s">
        <v>2437</v>
      </c>
      <c r="C1942" s="275" t="s">
        <v>3831</v>
      </c>
      <c r="D1942" s="168" t="s">
        <v>7679</v>
      </c>
      <c r="E1942" s="168" t="s">
        <v>1861</v>
      </c>
      <c r="F1942" s="168" t="s">
        <v>4623</v>
      </c>
      <c r="G1942" s="168" t="s">
        <v>4623</v>
      </c>
      <c r="H1942" s="292" t="s">
        <v>4623</v>
      </c>
      <c r="I1942" s="293" t="s">
        <v>4623</v>
      </c>
      <c r="J1942" s="293" t="s">
        <v>4623</v>
      </c>
      <c r="K1942" s="290" t="s">
        <v>4623</v>
      </c>
      <c r="L1942" s="290" t="s">
        <v>4623</v>
      </c>
      <c r="M1942" s="290" t="s">
        <v>4623</v>
      </c>
      <c r="N1942" s="290" t="s">
        <v>4623</v>
      </c>
      <c r="O1942" s="290" t="s">
        <v>4623</v>
      </c>
      <c r="P1942" s="290" t="s">
        <v>999</v>
      </c>
      <c r="Q1942" s="291" t="s">
        <v>4623</v>
      </c>
      <c r="R1942" s="276"/>
      <c r="S1942" s="277">
        <f>IF(OR(C1942="",C1942=T$4),NA(),MATCH($B1942&amp;$C1942,'Smelter Reference List'!$J:$J,0))</f>
        <v>442</v>
      </c>
      <c r="T1942" s="278"/>
      <c r="U1942" s="278"/>
      <c r="V1942" s="278"/>
      <c r="W1942" s="278"/>
    </row>
    <row r="1943" spans="1:23" s="269" customFormat="1" ht="20.25">
      <c r="A1943" s="267"/>
      <c r="B1943" s="275" t="s">
        <v>2437</v>
      </c>
      <c r="C1943" s="275" t="s">
        <v>3831</v>
      </c>
      <c r="D1943" s="168" t="s">
        <v>7680</v>
      </c>
      <c r="E1943" s="168" t="s">
        <v>1861</v>
      </c>
      <c r="F1943" s="168" t="s">
        <v>4623</v>
      </c>
      <c r="G1943" s="168" t="s">
        <v>4623</v>
      </c>
      <c r="H1943" s="292" t="s">
        <v>4623</v>
      </c>
      <c r="I1943" s="293" t="s">
        <v>4623</v>
      </c>
      <c r="J1943" s="293" t="s">
        <v>4623</v>
      </c>
      <c r="K1943" s="290" t="s">
        <v>4623</v>
      </c>
      <c r="L1943" s="290" t="s">
        <v>4623</v>
      </c>
      <c r="M1943" s="290" t="s">
        <v>4623</v>
      </c>
      <c r="N1943" s="290" t="s">
        <v>4623</v>
      </c>
      <c r="O1943" s="290" t="s">
        <v>4623</v>
      </c>
      <c r="P1943" s="290" t="s">
        <v>999</v>
      </c>
      <c r="Q1943" s="291" t="s">
        <v>4623</v>
      </c>
      <c r="R1943" s="276"/>
      <c r="S1943" s="277">
        <f>IF(OR(C1943="",C1943=T$4),NA(),MATCH($B1943&amp;$C1943,'Smelter Reference List'!$J:$J,0))</f>
        <v>442</v>
      </c>
      <c r="T1943" s="278"/>
      <c r="U1943" s="278"/>
      <c r="V1943" s="278"/>
      <c r="W1943" s="278"/>
    </row>
    <row r="1944" spans="1:23" s="269" customFormat="1" ht="20.25">
      <c r="A1944" s="267"/>
      <c r="B1944" s="275" t="s">
        <v>2437</v>
      </c>
      <c r="C1944" s="275" t="s">
        <v>3831</v>
      </c>
      <c r="D1944" s="168" t="s">
        <v>7681</v>
      </c>
      <c r="E1944" s="168" t="s">
        <v>1861</v>
      </c>
      <c r="F1944" s="168" t="s">
        <v>4623</v>
      </c>
      <c r="G1944" s="168" t="s">
        <v>4623</v>
      </c>
      <c r="H1944" s="292" t="s">
        <v>4623</v>
      </c>
      <c r="I1944" s="293" t="s">
        <v>4623</v>
      </c>
      <c r="J1944" s="293" t="s">
        <v>4623</v>
      </c>
      <c r="K1944" s="290" t="s">
        <v>4623</v>
      </c>
      <c r="L1944" s="290" t="s">
        <v>4623</v>
      </c>
      <c r="M1944" s="290" t="s">
        <v>4623</v>
      </c>
      <c r="N1944" s="290" t="s">
        <v>4623</v>
      </c>
      <c r="O1944" s="290" t="s">
        <v>4623</v>
      </c>
      <c r="P1944" s="290" t="s">
        <v>999</v>
      </c>
      <c r="Q1944" s="291" t="s">
        <v>4623</v>
      </c>
      <c r="R1944" s="276"/>
      <c r="S1944" s="277">
        <f>IF(OR(C1944="",C1944=T$4),NA(),MATCH($B1944&amp;$C1944,'Smelter Reference List'!$J:$J,0))</f>
        <v>442</v>
      </c>
      <c r="T1944" s="278"/>
      <c r="U1944" s="278"/>
      <c r="V1944" s="278"/>
      <c r="W1944" s="278"/>
    </row>
    <row r="1945" spans="1:23" s="269" customFormat="1" ht="20.25">
      <c r="A1945" s="267"/>
      <c r="B1945" s="275" t="s">
        <v>2437</v>
      </c>
      <c r="C1945" s="275" t="s">
        <v>3831</v>
      </c>
      <c r="D1945" s="168" t="s">
        <v>7682</v>
      </c>
      <c r="E1945" s="168" t="s">
        <v>1861</v>
      </c>
      <c r="F1945" s="168" t="s">
        <v>4623</v>
      </c>
      <c r="G1945" s="168" t="s">
        <v>4623</v>
      </c>
      <c r="H1945" s="292" t="s">
        <v>7683</v>
      </c>
      <c r="I1945" s="293" t="s">
        <v>4623</v>
      </c>
      <c r="J1945" s="293" t="s">
        <v>4623</v>
      </c>
      <c r="K1945" s="290" t="s">
        <v>7684</v>
      </c>
      <c r="L1945" s="290" t="s">
        <v>7685</v>
      </c>
      <c r="M1945" s="290" t="s">
        <v>4623</v>
      </c>
      <c r="N1945" s="290" t="s">
        <v>4623</v>
      </c>
      <c r="O1945" s="290" t="s">
        <v>4623</v>
      </c>
      <c r="P1945" s="290" t="s">
        <v>999</v>
      </c>
      <c r="Q1945" s="291" t="s">
        <v>4623</v>
      </c>
      <c r="R1945" s="276"/>
      <c r="S1945" s="277">
        <f>IF(OR(C1945="",C1945=T$4),NA(),MATCH($B1945&amp;$C1945,'Smelter Reference List'!$J:$J,0))</f>
        <v>442</v>
      </c>
      <c r="T1945" s="278"/>
      <c r="U1945" s="278"/>
      <c r="V1945" s="278"/>
      <c r="W1945" s="278"/>
    </row>
    <row r="1946" spans="1:23" s="269" customFormat="1" ht="20.25">
      <c r="A1946" s="267"/>
      <c r="B1946" s="275" t="s">
        <v>2437</v>
      </c>
      <c r="C1946" s="275" t="s">
        <v>3831</v>
      </c>
      <c r="D1946" s="168" t="s">
        <v>7686</v>
      </c>
      <c r="E1946" s="168" t="s">
        <v>1861</v>
      </c>
      <c r="F1946" s="168" t="s">
        <v>4623</v>
      </c>
      <c r="G1946" s="168" t="s">
        <v>4623</v>
      </c>
      <c r="H1946" s="292" t="s">
        <v>4623</v>
      </c>
      <c r="I1946" s="293" t="s">
        <v>4623</v>
      </c>
      <c r="J1946" s="293" t="s">
        <v>4623</v>
      </c>
      <c r="K1946" s="290" t="s">
        <v>4623</v>
      </c>
      <c r="L1946" s="290" t="s">
        <v>4623</v>
      </c>
      <c r="M1946" s="290" t="s">
        <v>4623</v>
      </c>
      <c r="N1946" s="290" t="s">
        <v>4623</v>
      </c>
      <c r="O1946" s="290" t="s">
        <v>4623</v>
      </c>
      <c r="P1946" s="290" t="s">
        <v>999</v>
      </c>
      <c r="Q1946" s="291" t="s">
        <v>4623</v>
      </c>
      <c r="R1946" s="276"/>
      <c r="S1946" s="277">
        <f>IF(OR(C1946="",C1946=T$4),NA(),MATCH($B1946&amp;$C1946,'Smelter Reference List'!$J:$J,0))</f>
        <v>442</v>
      </c>
      <c r="T1946" s="278"/>
      <c r="U1946" s="278"/>
      <c r="V1946" s="278"/>
      <c r="W1946" s="278"/>
    </row>
    <row r="1947" spans="1:23" s="269" customFormat="1" ht="20.25">
      <c r="A1947" s="267"/>
      <c r="B1947" s="275" t="s">
        <v>2437</v>
      </c>
      <c r="C1947" s="275" t="s">
        <v>3831</v>
      </c>
      <c r="D1947" s="168" t="s">
        <v>6684</v>
      </c>
      <c r="E1947" s="168" t="s">
        <v>1861</v>
      </c>
      <c r="F1947" s="168" t="s">
        <v>4623</v>
      </c>
      <c r="G1947" s="168" t="s">
        <v>4623</v>
      </c>
      <c r="H1947" s="292" t="s">
        <v>7687</v>
      </c>
      <c r="I1947" s="293" t="s">
        <v>7688</v>
      </c>
      <c r="J1947" s="293" t="s">
        <v>4623</v>
      </c>
      <c r="K1947" s="290" t="s">
        <v>4623</v>
      </c>
      <c r="L1947" s="290" t="s">
        <v>4623</v>
      </c>
      <c r="M1947" s="290" t="s">
        <v>4623</v>
      </c>
      <c r="N1947" s="290" t="s">
        <v>6684</v>
      </c>
      <c r="O1947" s="290" t="s">
        <v>3506</v>
      </c>
      <c r="P1947" s="290" t="s">
        <v>999</v>
      </c>
      <c r="Q1947" s="291" t="s">
        <v>4623</v>
      </c>
      <c r="R1947" s="276"/>
      <c r="S1947" s="277">
        <f>IF(OR(C1947="",C1947=T$4),NA(),MATCH($B1947&amp;$C1947,'Smelter Reference List'!$J:$J,0))</f>
        <v>442</v>
      </c>
      <c r="T1947" s="278"/>
      <c r="U1947" s="278"/>
      <c r="V1947" s="278"/>
      <c r="W1947" s="278"/>
    </row>
    <row r="1948" spans="1:23" s="269" customFormat="1" ht="20.25">
      <c r="A1948" s="267"/>
      <c r="B1948" s="275" t="s">
        <v>2437</v>
      </c>
      <c r="C1948" s="275" t="s">
        <v>3831</v>
      </c>
      <c r="D1948" s="168" t="s">
        <v>7689</v>
      </c>
      <c r="E1948" s="168" t="s">
        <v>1861</v>
      </c>
      <c r="F1948" s="168" t="s">
        <v>4623</v>
      </c>
      <c r="G1948" s="168" t="s">
        <v>4623</v>
      </c>
      <c r="H1948" s="292" t="s">
        <v>7690</v>
      </c>
      <c r="I1948" s="293" t="s">
        <v>7691</v>
      </c>
      <c r="J1948" s="293" t="s">
        <v>7692</v>
      </c>
      <c r="K1948" s="290" t="s">
        <v>4623</v>
      </c>
      <c r="L1948" s="290" t="s">
        <v>4623</v>
      </c>
      <c r="M1948" s="290" t="s">
        <v>4623</v>
      </c>
      <c r="N1948" s="290" t="s">
        <v>4623</v>
      </c>
      <c r="O1948" s="290" t="s">
        <v>4623</v>
      </c>
      <c r="P1948" s="290" t="s">
        <v>999</v>
      </c>
      <c r="Q1948" s="291" t="s">
        <v>4623</v>
      </c>
      <c r="R1948" s="276"/>
      <c r="S1948" s="277">
        <f>IF(OR(C1948="",C1948=T$4),NA(),MATCH($B1948&amp;$C1948,'Smelter Reference List'!$J:$J,0))</f>
        <v>442</v>
      </c>
      <c r="T1948" s="278"/>
      <c r="U1948" s="278"/>
      <c r="V1948" s="278"/>
      <c r="W1948" s="278"/>
    </row>
    <row r="1949" spans="1:23" s="269" customFormat="1" ht="20.25">
      <c r="A1949" s="267"/>
      <c r="B1949" s="275" t="s">
        <v>2437</v>
      </c>
      <c r="C1949" s="275" t="s">
        <v>3831</v>
      </c>
      <c r="D1949" s="168" t="s">
        <v>6710</v>
      </c>
      <c r="E1949" s="168" t="s">
        <v>1861</v>
      </c>
      <c r="F1949" s="168" t="s">
        <v>4623</v>
      </c>
      <c r="G1949" s="168" t="s">
        <v>4623</v>
      </c>
      <c r="H1949" s="292" t="s">
        <v>4623</v>
      </c>
      <c r="I1949" s="293" t="s">
        <v>4623</v>
      </c>
      <c r="J1949" s="293" t="s">
        <v>4623</v>
      </c>
      <c r="K1949" s="290" t="s">
        <v>4623</v>
      </c>
      <c r="L1949" s="290" t="s">
        <v>4623</v>
      </c>
      <c r="M1949" s="290" t="s">
        <v>4623</v>
      </c>
      <c r="N1949" s="290" t="s">
        <v>4623</v>
      </c>
      <c r="O1949" s="290" t="s">
        <v>4623</v>
      </c>
      <c r="P1949" s="290" t="s">
        <v>999</v>
      </c>
      <c r="Q1949" s="291" t="s">
        <v>4623</v>
      </c>
      <c r="R1949" s="276"/>
      <c r="S1949" s="277">
        <f>IF(OR(C1949="",C1949=T$4),NA(),MATCH($B1949&amp;$C1949,'Smelter Reference List'!$J:$J,0))</f>
        <v>442</v>
      </c>
      <c r="T1949" s="278"/>
      <c r="U1949" s="278"/>
      <c r="V1949" s="278"/>
      <c r="W1949" s="278"/>
    </row>
    <row r="1950" spans="1:23" s="269" customFormat="1" ht="20.25">
      <c r="A1950" s="267"/>
      <c r="B1950" s="275" t="s">
        <v>2437</v>
      </c>
      <c r="C1950" s="275" t="s">
        <v>3831</v>
      </c>
      <c r="D1950" s="168" t="s">
        <v>7529</v>
      </c>
      <c r="E1950" s="168" t="s">
        <v>1861</v>
      </c>
      <c r="F1950" s="168" t="s">
        <v>4623</v>
      </c>
      <c r="G1950" s="168" t="s">
        <v>4623</v>
      </c>
      <c r="H1950" s="292" t="s">
        <v>4623</v>
      </c>
      <c r="I1950" s="293" t="s">
        <v>4623</v>
      </c>
      <c r="J1950" s="293" t="s">
        <v>4623</v>
      </c>
      <c r="K1950" s="290" t="s">
        <v>4623</v>
      </c>
      <c r="L1950" s="290" t="s">
        <v>4623</v>
      </c>
      <c r="M1950" s="290" t="s">
        <v>4769</v>
      </c>
      <c r="N1950" s="290" t="s">
        <v>7693</v>
      </c>
      <c r="O1950" s="290" t="s">
        <v>7694</v>
      </c>
      <c r="P1950" s="290" t="s">
        <v>999</v>
      </c>
      <c r="Q1950" s="291" t="s">
        <v>4623</v>
      </c>
      <c r="R1950" s="276"/>
      <c r="S1950" s="277">
        <f>IF(OR(C1950="",C1950=T$4),NA(),MATCH($B1950&amp;$C1950,'Smelter Reference List'!$J:$J,0))</f>
        <v>442</v>
      </c>
      <c r="T1950" s="278"/>
      <c r="U1950" s="278"/>
      <c r="V1950" s="278"/>
      <c r="W1950" s="278"/>
    </row>
    <row r="1951" spans="1:23" s="269" customFormat="1" ht="20.25">
      <c r="A1951" s="267"/>
      <c r="B1951" s="275" t="s">
        <v>2437</v>
      </c>
      <c r="C1951" s="275" t="s">
        <v>3831</v>
      </c>
      <c r="D1951" s="168" t="s">
        <v>7695</v>
      </c>
      <c r="E1951" s="168" t="s">
        <v>1861</v>
      </c>
      <c r="F1951" s="168" t="s">
        <v>4623</v>
      </c>
      <c r="G1951" s="168" t="s">
        <v>4623</v>
      </c>
      <c r="H1951" s="292" t="s">
        <v>4623</v>
      </c>
      <c r="I1951" s="293" t="s">
        <v>4623</v>
      </c>
      <c r="J1951" s="293" t="s">
        <v>4623</v>
      </c>
      <c r="K1951" s="290" t="s">
        <v>4623</v>
      </c>
      <c r="L1951" s="290" t="s">
        <v>4623</v>
      </c>
      <c r="M1951" s="290" t="s">
        <v>4623</v>
      </c>
      <c r="N1951" s="290" t="s">
        <v>4623</v>
      </c>
      <c r="O1951" s="290" t="s">
        <v>4623</v>
      </c>
      <c r="P1951" s="290" t="s">
        <v>999</v>
      </c>
      <c r="Q1951" s="291" t="s">
        <v>4623</v>
      </c>
      <c r="R1951" s="276"/>
      <c r="S1951" s="277">
        <f>IF(OR(C1951="",C1951=T$4),NA(),MATCH($B1951&amp;$C1951,'Smelter Reference List'!$J:$J,0))</f>
        <v>442</v>
      </c>
      <c r="T1951" s="278"/>
      <c r="U1951" s="278"/>
      <c r="V1951" s="278"/>
      <c r="W1951" s="278"/>
    </row>
    <row r="1952" spans="1:23" s="269" customFormat="1" ht="20.25">
      <c r="A1952" s="267"/>
      <c r="B1952" s="275" t="s">
        <v>2437</v>
      </c>
      <c r="C1952" s="275" t="s">
        <v>3831</v>
      </c>
      <c r="D1952" s="168" t="s">
        <v>7696</v>
      </c>
      <c r="E1952" s="168" t="s">
        <v>1861</v>
      </c>
      <c r="F1952" s="168" t="s">
        <v>4623</v>
      </c>
      <c r="G1952" s="168" t="s">
        <v>4623</v>
      </c>
      <c r="H1952" s="292" t="s">
        <v>4623</v>
      </c>
      <c r="I1952" s="293" t="s">
        <v>4623</v>
      </c>
      <c r="J1952" s="293" t="s">
        <v>4623</v>
      </c>
      <c r="K1952" s="290" t="s">
        <v>4623</v>
      </c>
      <c r="L1952" s="290" t="s">
        <v>4623</v>
      </c>
      <c r="M1952" s="290" t="s">
        <v>4623</v>
      </c>
      <c r="N1952" s="290" t="s">
        <v>4623</v>
      </c>
      <c r="O1952" s="290" t="s">
        <v>4623</v>
      </c>
      <c r="P1952" s="290" t="s">
        <v>999</v>
      </c>
      <c r="Q1952" s="291" t="s">
        <v>4623</v>
      </c>
      <c r="R1952" s="276"/>
      <c r="S1952" s="277">
        <f>IF(OR(C1952="",C1952=T$4),NA(),MATCH($B1952&amp;$C1952,'Smelter Reference List'!$J:$J,0))</f>
        <v>442</v>
      </c>
      <c r="T1952" s="278"/>
      <c r="U1952" s="278"/>
      <c r="V1952" s="278"/>
      <c r="W1952" s="278"/>
    </row>
    <row r="1953" spans="1:23" s="269" customFormat="1" ht="20.25">
      <c r="A1953" s="267"/>
      <c r="B1953" s="275" t="s">
        <v>2437</v>
      </c>
      <c r="C1953" s="275" t="s">
        <v>3831</v>
      </c>
      <c r="D1953" s="168" t="s">
        <v>7697</v>
      </c>
      <c r="E1953" s="168" t="s">
        <v>1861</v>
      </c>
      <c r="F1953" s="168" t="s">
        <v>4623</v>
      </c>
      <c r="G1953" s="168" t="s">
        <v>4623</v>
      </c>
      <c r="H1953" s="292" t="s">
        <v>4623</v>
      </c>
      <c r="I1953" s="293" t="s">
        <v>4623</v>
      </c>
      <c r="J1953" s="293" t="s">
        <v>4623</v>
      </c>
      <c r="K1953" s="290" t="s">
        <v>4623</v>
      </c>
      <c r="L1953" s="290" t="s">
        <v>4623</v>
      </c>
      <c r="M1953" s="290" t="s">
        <v>4623</v>
      </c>
      <c r="N1953" s="290" t="s">
        <v>4623</v>
      </c>
      <c r="O1953" s="290" t="s">
        <v>4623</v>
      </c>
      <c r="P1953" s="290" t="s">
        <v>999</v>
      </c>
      <c r="Q1953" s="291" t="s">
        <v>4623</v>
      </c>
      <c r="R1953" s="276"/>
      <c r="S1953" s="277">
        <f>IF(OR(C1953="",C1953=T$4),NA(),MATCH($B1953&amp;$C1953,'Smelter Reference List'!$J:$J,0))</f>
        <v>442</v>
      </c>
      <c r="T1953" s="278"/>
      <c r="U1953" s="278"/>
      <c r="V1953" s="278"/>
      <c r="W1953" s="278"/>
    </row>
    <row r="1954" spans="1:23" s="269" customFormat="1" ht="20.25">
      <c r="A1954" s="267"/>
      <c r="B1954" s="275" t="s">
        <v>2437</v>
      </c>
      <c r="C1954" s="275" t="s">
        <v>3831</v>
      </c>
      <c r="D1954" s="168" t="s">
        <v>7698</v>
      </c>
      <c r="E1954" s="168" t="s">
        <v>1861</v>
      </c>
      <c r="F1954" s="168" t="s">
        <v>4623</v>
      </c>
      <c r="G1954" s="168" t="s">
        <v>4623</v>
      </c>
      <c r="H1954" s="292" t="s">
        <v>4623</v>
      </c>
      <c r="I1954" s="293" t="s">
        <v>4623</v>
      </c>
      <c r="J1954" s="293" t="s">
        <v>4623</v>
      </c>
      <c r="K1954" s="290" t="s">
        <v>4623</v>
      </c>
      <c r="L1954" s="290" t="s">
        <v>4623</v>
      </c>
      <c r="M1954" s="290" t="s">
        <v>4623</v>
      </c>
      <c r="N1954" s="290" t="s">
        <v>4623</v>
      </c>
      <c r="O1954" s="290" t="s">
        <v>4623</v>
      </c>
      <c r="P1954" s="290" t="s">
        <v>999</v>
      </c>
      <c r="Q1954" s="291" t="s">
        <v>4623</v>
      </c>
      <c r="R1954" s="276"/>
      <c r="S1954" s="277">
        <f>IF(OR(C1954="",C1954=T$4),NA(),MATCH($B1954&amp;$C1954,'Smelter Reference List'!$J:$J,0))</f>
        <v>442</v>
      </c>
      <c r="T1954" s="278"/>
      <c r="U1954" s="278"/>
      <c r="V1954" s="278"/>
      <c r="W1954" s="278"/>
    </row>
    <row r="1955" spans="1:23" s="269" customFormat="1" ht="20.25">
      <c r="A1955" s="267"/>
      <c r="B1955" s="275" t="s">
        <v>2437</v>
      </c>
      <c r="C1955" s="275" t="s">
        <v>3831</v>
      </c>
      <c r="D1955" s="168" t="s">
        <v>7699</v>
      </c>
      <c r="E1955" s="168" t="s">
        <v>1861</v>
      </c>
      <c r="F1955" s="168" t="s">
        <v>4623</v>
      </c>
      <c r="G1955" s="168" t="s">
        <v>4623</v>
      </c>
      <c r="H1955" s="292" t="s">
        <v>4623</v>
      </c>
      <c r="I1955" s="293" t="s">
        <v>4623</v>
      </c>
      <c r="J1955" s="293" t="s">
        <v>4623</v>
      </c>
      <c r="K1955" s="290" t="s">
        <v>4623</v>
      </c>
      <c r="L1955" s="290" t="s">
        <v>4623</v>
      </c>
      <c r="M1955" s="290" t="s">
        <v>4623</v>
      </c>
      <c r="N1955" s="290" t="s">
        <v>4623</v>
      </c>
      <c r="O1955" s="290" t="s">
        <v>4623</v>
      </c>
      <c r="P1955" s="290" t="s">
        <v>999</v>
      </c>
      <c r="Q1955" s="291" t="s">
        <v>4623</v>
      </c>
      <c r="R1955" s="276"/>
      <c r="S1955" s="277">
        <f>IF(OR(C1955="",C1955=T$4),NA(),MATCH($B1955&amp;$C1955,'Smelter Reference List'!$J:$J,0))</f>
        <v>442</v>
      </c>
      <c r="T1955" s="278"/>
      <c r="U1955" s="278"/>
      <c r="V1955" s="278"/>
      <c r="W1955" s="278"/>
    </row>
    <row r="1956" spans="1:23" s="269" customFormat="1" ht="20.25">
      <c r="A1956" s="267"/>
      <c r="B1956" s="275" t="s">
        <v>2437</v>
      </c>
      <c r="C1956" s="275" t="s">
        <v>3831</v>
      </c>
      <c r="D1956" s="168" t="s">
        <v>7700</v>
      </c>
      <c r="E1956" s="168" t="s">
        <v>1861</v>
      </c>
      <c r="F1956" s="168" t="s">
        <v>4623</v>
      </c>
      <c r="G1956" s="168" t="s">
        <v>4623</v>
      </c>
      <c r="H1956" s="292" t="s">
        <v>4623</v>
      </c>
      <c r="I1956" s="293" t="s">
        <v>4623</v>
      </c>
      <c r="J1956" s="293" t="s">
        <v>4623</v>
      </c>
      <c r="K1956" s="290" t="s">
        <v>4623</v>
      </c>
      <c r="L1956" s="290" t="s">
        <v>4623</v>
      </c>
      <c r="M1956" s="290" t="s">
        <v>4623</v>
      </c>
      <c r="N1956" s="290" t="s">
        <v>4623</v>
      </c>
      <c r="O1956" s="290" t="s">
        <v>4623</v>
      </c>
      <c r="P1956" s="290" t="s">
        <v>999</v>
      </c>
      <c r="Q1956" s="291" t="s">
        <v>4623</v>
      </c>
      <c r="R1956" s="276"/>
      <c r="S1956" s="277">
        <f>IF(OR(C1956="",C1956=T$4),NA(),MATCH($B1956&amp;$C1956,'Smelter Reference List'!$J:$J,0))</f>
        <v>442</v>
      </c>
      <c r="T1956" s="278"/>
      <c r="U1956" s="278"/>
      <c r="V1956" s="278"/>
      <c r="W1956" s="278"/>
    </row>
    <row r="1957" spans="1:23" s="269" customFormat="1" ht="20.25">
      <c r="A1957" s="267"/>
      <c r="B1957" s="275" t="s">
        <v>2437</v>
      </c>
      <c r="C1957" s="275" t="s">
        <v>3831</v>
      </c>
      <c r="D1957" s="168" t="s">
        <v>7701</v>
      </c>
      <c r="E1957" s="168" t="s">
        <v>1861</v>
      </c>
      <c r="F1957" s="168" t="s">
        <v>4623</v>
      </c>
      <c r="G1957" s="168" t="s">
        <v>4623</v>
      </c>
      <c r="H1957" s="292" t="s">
        <v>7702</v>
      </c>
      <c r="I1957" s="293" t="s">
        <v>7703</v>
      </c>
      <c r="J1957" s="293" t="s">
        <v>4623</v>
      </c>
      <c r="K1957" s="290" t="s">
        <v>4623</v>
      </c>
      <c r="L1957" s="290" t="s">
        <v>4623</v>
      </c>
      <c r="M1957" s="290" t="s">
        <v>4623</v>
      </c>
      <c r="N1957" s="290" t="s">
        <v>4623</v>
      </c>
      <c r="O1957" s="290" t="s">
        <v>4623</v>
      </c>
      <c r="P1957" s="290" t="s">
        <v>999</v>
      </c>
      <c r="Q1957" s="291" t="s">
        <v>4623</v>
      </c>
      <c r="R1957" s="276"/>
      <c r="S1957" s="277">
        <f>IF(OR(C1957="",C1957=T$4),NA(),MATCH($B1957&amp;$C1957,'Smelter Reference List'!$J:$J,0))</f>
        <v>442</v>
      </c>
      <c r="T1957" s="278"/>
      <c r="U1957" s="278"/>
      <c r="V1957" s="278"/>
      <c r="W1957" s="278"/>
    </row>
    <row r="1958" spans="1:23" s="269" customFormat="1" ht="20.25">
      <c r="A1958" s="267"/>
      <c r="B1958" s="275" t="s">
        <v>2437</v>
      </c>
      <c r="C1958" s="275" t="s">
        <v>3831</v>
      </c>
      <c r="D1958" s="168" t="s">
        <v>6848</v>
      </c>
      <c r="E1958" s="168" t="s">
        <v>1861</v>
      </c>
      <c r="F1958" s="168" t="s">
        <v>4623</v>
      </c>
      <c r="G1958" s="168" t="s">
        <v>4623</v>
      </c>
      <c r="H1958" s="292" t="s">
        <v>4623</v>
      </c>
      <c r="I1958" s="293" t="s">
        <v>4623</v>
      </c>
      <c r="J1958" s="293" t="s">
        <v>4623</v>
      </c>
      <c r="K1958" s="290" t="s">
        <v>4623</v>
      </c>
      <c r="L1958" s="290" t="s">
        <v>4623</v>
      </c>
      <c r="M1958" s="290" t="s">
        <v>4623</v>
      </c>
      <c r="N1958" s="290" t="s">
        <v>4623</v>
      </c>
      <c r="O1958" s="290" t="s">
        <v>4623</v>
      </c>
      <c r="P1958" s="290" t="s">
        <v>999</v>
      </c>
      <c r="Q1958" s="291" t="s">
        <v>4623</v>
      </c>
      <c r="R1958" s="276"/>
      <c r="S1958" s="277">
        <f>IF(OR(C1958="",C1958=T$4),NA(),MATCH($B1958&amp;$C1958,'Smelter Reference List'!$J:$J,0))</f>
        <v>442</v>
      </c>
      <c r="T1958" s="278"/>
      <c r="U1958" s="278"/>
      <c r="V1958" s="278"/>
      <c r="W1958" s="278"/>
    </row>
    <row r="1959" spans="1:23" s="269" customFormat="1" ht="20.25">
      <c r="A1959" s="267"/>
      <c r="B1959" s="275" t="s">
        <v>2437</v>
      </c>
      <c r="C1959" s="275" t="s">
        <v>3831</v>
      </c>
      <c r="D1959" s="168" t="s">
        <v>7704</v>
      </c>
      <c r="E1959" s="168" t="s">
        <v>1861</v>
      </c>
      <c r="F1959" s="168" t="s">
        <v>4623</v>
      </c>
      <c r="G1959" s="168" t="s">
        <v>4623</v>
      </c>
      <c r="H1959" s="292" t="s">
        <v>4623</v>
      </c>
      <c r="I1959" s="293" t="s">
        <v>4623</v>
      </c>
      <c r="J1959" s="293" t="s">
        <v>4623</v>
      </c>
      <c r="K1959" s="290" t="s">
        <v>4623</v>
      </c>
      <c r="L1959" s="290" t="s">
        <v>4623</v>
      </c>
      <c r="M1959" s="290" t="s">
        <v>4623</v>
      </c>
      <c r="N1959" s="290" t="s">
        <v>4623</v>
      </c>
      <c r="O1959" s="290" t="s">
        <v>4623</v>
      </c>
      <c r="P1959" s="290" t="s">
        <v>999</v>
      </c>
      <c r="Q1959" s="291" t="s">
        <v>4623</v>
      </c>
      <c r="R1959" s="276"/>
      <c r="S1959" s="277">
        <f>IF(OR(C1959="",C1959=T$4),NA(),MATCH($B1959&amp;$C1959,'Smelter Reference List'!$J:$J,0))</f>
        <v>442</v>
      </c>
      <c r="T1959" s="278"/>
      <c r="U1959" s="278"/>
      <c r="V1959" s="278"/>
      <c r="W1959" s="278"/>
    </row>
    <row r="1960" spans="1:23" s="269" customFormat="1" ht="20.25">
      <c r="A1960" s="267"/>
      <c r="B1960" s="275" t="s">
        <v>2437</v>
      </c>
      <c r="C1960" s="275" t="s">
        <v>3831</v>
      </c>
      <c r="D1960" s="168" t="s">
        <v>7705</v>
      </c>
      <c r="E1960" s="168" t="s">
        <v>1861</v>
      </c>
      <c r="F1960" s="168" t="s">
        <v>4623</v>
      </c>
      <c r="G1960" s="168" t="s">
        <v>4623</v>
      </c>
      <c r="H1960" s="292" t="s">
        <v>4623</v>
      </c>
      <c r="I1960" s="293" t="s">
        <v>4623</v>
      </c>
      <c r="J1960" s="293" t="s">
        <v>4623</v>
      </c>
      <c r="K1960" s="290" t="s">
        <v>4623</v>
      </c>
      <c r="L1960" s="290" t="s">
        <v>4623</v>
      </c>
      <c r="M1960" s="290" t="s">
        <v>6377</v>
      </c>
      <c r="N1960" s="290" t="s">
        <v>5000</v>
      </c>
      <c r="O1960" s="290" t="s">
        <v>5000</v>
      </c>
      <c r="P1960" s="290" t="s">
        <v>999</v>
      </c>
      <c r="Q1960" s="291" t="s">
        <v>4623</v>
      </c>
      <c r="R1960" s="276"/>
      <c r="S1960" s="277">
        <f>IF(OR(C1960="",C1960=T$4),NA(),MATCH($B1960&amp;$C1960,'Smelter Reference List'!$J:$J,0))</f>
        <v>442</v>
      </c>
      <c r="T1960" s="278"/>
      <c r="U1960" s="278"/>
      <c r="V1960" s="278"/>
      <c r="W1960" s="278"/>
    </row>
    <row r="1961" spans="1:23" s="269" customFormat="1" ht="20.25">
      <c r="A1961" s="267"/>
      <c r="B1961" s="275" t="s">
        <v>2437</v>
      </c>
      <c r="C1961" s="275" t="s">
        <v>3831</v>
      </c>
      <c r="D1961" s="168" t="s">
        <v>7706</v>
      </c>
      <c r="E1961" s="168" t="s">
        <v>1861</v>
      </c>
      <c r="F1961" s="168" t="s">
        <v>4623</v>
      </c>
      <c r="G1961" s="168" t="s">
        <v>4623</v>
      </c>
      <c r="H1961" s="292" t="s">
        <v>4623</v>
      </c>
      <c r="I1961" s="293" t="s">
        <v>4623</v>
      </c>
      <c r="J1961" s="293" t="s">
        <v>4623</v>
      </c>
      <c r="K1961" s="290" t="s">
        <v>4623</v>
      </c>
      <c r="L1961" s="290" t="s">
        <v>4623</v>
      </c>
      <c r="M1961" s="290" t="s">
        <v>4623</v>
      </c>
      <c r="N1961" s="290" t="s">
        <v>4623</v>
      </c>
      <c r="O1961" s="290" t="s">
        <v>4623</v>
      </c>
      <c r="P1961" s="290" t="s">
        <v>999</v>
      </c>
      <c r="Q1961" s="291" t="s">
        <v>4623</v>
      </c>
      <c r="R1961" s="276"/>
      <c r="S1961" s="277">
        <f>IF(OR(C1961="",C1961=T$4),NA(),MATCH($B1961&amp;$C1961,'Smelter Reference List'!$J:$J,0))</f>
        <v>442</v>
      </c>
      <c r="T1961" s="278"/>
      <c r="U1961" s="278"/>
      <c r="V1961" s="278"/>
      <c r="W1961" s="278"/>
    </row>
    <row r="1962" spans="1:23" s="269" customFormat="1" ht="20.25">
      <c r="A1962" s="267"/>
      <c r="B1962" s="275" t="s">
        <v>2437</v>
      </c>
      <c r="C1962" s="275" t="s">
        <v>3831</v>
      </c>
      <c r="D1962" s="168" t="s">
        <v>7707</v>
      </c>
      <c r="E1962" s="168" t="s">
        <v>1861</v>
      </c>
      <c r="F1962" s="168" t="s">
        <v>4623</v>
      </c>
      <c r="G1962" s="168" t="s">
        <v>4623</v>
      </c>
      <c r="H1962" s="292" t="s">
        <v>4623</v>
      </c>
      <c r="I1962" s="293" t="s">
        <v>4623</v>
      </c>
      <c r="J1962" s="293" t="s">
        <v>4623</v>
      </c>
      <c r="K1962" s="290" t="s">
        <v>4623</v>
      </c>
      <c r="L1962" s="290" t="s">
        <v>4623</v>
      </c>
      <c r="M1962" s="290" t="s">
        <v>4623</v>
      </c>
      <c r="N1962" s="290" t="s">
        <v>4623</v>
      </c>
      <c r="O1962" s="290" t="s">
        <v>4623</v>
      </c>
      <c r="P1962" s="290" t="s">
        <v>999</v>
      </c>
      <c r="Q1962" s="291" t="s">
        <v>4623</v>
      </c>
      <c r="R1962" s="276"/>
      <c r="S1962" s="277">
        <f>IF(OR(C1962="",C1962=T$4),NA(),MATCH($B1962&amp;$C1962,'Smelter Reference List'!$J:$J,0))</f>
        <v>442</v>
      </c>
      <c r="T1962" s="278"/>
      <c r="U1962" s="278"/>
      <c r="V1962" s="278"/>
      <c r="W1962" s="278"/>
    </row>
    <row r="1963" spans="1:23" s="269" customFormat="1" ht="20.25">
      <c r="A1963" s="267"/>
      <c r="B1963" s="275" t="s">
        <v>2437</v>
      </c>
      <c r="C1963" s="275" t="s">
        <v>3831</v>
      </c>
      <c r="D1963" s="168" t="s">
        <v>7708</v>
      </c>
      <c r="E1963" s="168" t="s">
        <v>1861</v>
      </c>
      <c r="F1963" s="168" t="s">
        <v>4623</v>
      </c>
      <c r="G1963" s="168" t="s">
        <v>4623</v>
      </c>
      <c r="H1963" s="292" t="s">
        <v>4623</v>
      </c>
      <c r="I1963" s="293" t="s">
        <v>4623</v>
      </c>
      <c r="J1963" s="293" t="s">
        <v>4623</v>
      </c>
      <c r="K1963" s="290" t="s">
        <v>4623</v>
      </c>
      <c r="L1963" s="290" t="s">
        <v>4623</v>
      </c>
      <c r="M1963" s="290" t="s">
        <v>4623</v>
      </c>
      <c r="N1963" s="290" t="s">
        <v>4623</v>
      </c>
      <c r="O1963" s="290" t="s">
        <v>4792</v>
      </c>
      <c r="P1963" s="290" t="s">
        <v>999</v>
      </c>
      <c r="Q1963" s="291" t="s">
        <v>7709</v>
      </c>
      <c r="R1963" s="276"/>
      <c r="S1963" s="277">
        <f>IF(OR(C1963="",C1963=T$4),NA(),MATCH($B1963&amp;$C1963,'Smelter Reference List'!$J:$J,0))</f>
        <v>442</v>
      </c>
      <c r="T1963" s="278"/>
      <c r="U1963" s="278"/>
      <c r="V1963" s="278"/>
      <c r="W1963" s="278"/>
    </row>
    <row r="1964" spans="1:23" s="269" customFormat="1" ht="20.25">
      <c r="A1964" s="267"/>
      <c r="B1964" s="275" t="s">
        <v>2437</v>
      </c>
      <c r="C1964" s="275" t="s">
        <v>3831</v>
      </c>
      <c r="D1964" s="168" t="s">
        <v>7710</v>
      </c>
      <c r="E1964" s="168" t="s">
        <v>1861</v>
      </c>
      <c r="F1964" s="168" t="s">
        <v>4623</v>
      </c>
      <c r="G1964" s="168" t="s">
        <v>4623</v>
      </c>
      <c r="H1964" s="292" t="s">
        <v>4623</v>
      </c>
      <c r="I1964" s="293" t="s">
        <v>4623</v>
      </c>
      <c r="J1964" s="293" t="s">
        <v>4623</v>
      </c>
      <c r="K1964" s="290" t="s">
        <v>4623</v>
      </c>
      <c r="L1964" s="290" t="s">
        <v>4623</v>
      </c>
      <c r="M1964" s="290" t="s">
        <v>6377</v>
      </c>
      <c r="N1964" s="290" t="s">
        <v>5000</v>
      </c>
      <c r="O1964" s="290" t="s">
        <v>5000</v>
      </c>
      <c r="P1964" s="290" t="s">
        <v>999</v>
      </c>
      <c r="Q1964" s="291" t="s">
        <v>4623</v>
      </c>
      <c r="R1964" s="276"/>
      <c r="S1964" s="277">
        <f>IF(OR(C1964="",C1964=T$4),NA(),MATCH($B1964&amp;$C1964,'Smelter Reference List'!$J:$J,0))</f>
        <v>442</v>
      </c>
      <c r="T1964" s="278"/>
      <c r="U1964" s="278"/>
      <c r="V1964" s="278"/>
      <c r="W1964" s="278"/>
    </row>
    <row r="1965" spans="1:23" s="269" customFormat="1" ht="20.25">
      <c r="A1965" s="267"/>
      <c r="B1965" s="275" t="s">
        <v>2437</v>
      </c>
      <c r="C1965" s="275" t="s">
        <v>3831</v>
      </c>
      <c r="D1965" s="168" t="s">
        <v>5509</v>
      </c>
      <c r="E1965" s="168" t="s">
        <v>1861</v>
      </c>
      <c r="F1965" s="168" t="s">
        <v>4623</v>
      </c>
      <c r="G1965" s="168"/>
      <c r="H1965" s="292" t="s">
        <v>7711</v>
      </c>
      <c r="I1965" s="293" t="s">
        <v>7712</v>
      </c>
      <c r="J1965" s="293" t="s">
        <v>3506</v>
      </c>
      <c r="K1965" s="290" t="s">
        <v>7713</v>
      </c>
      <c r="L1965" s="290" t="s">
        <v>7714</v>
      </c>
      <c r="M1965" s="290" t="s">
        <v>4623</v>
      </c>
      <c r="N1965" s="290" t="s">
        <v>4623</v>
      </c>
      <c r="O1965" s="290" t="s">
        <v>4623</v>
      </c>
      <c r="P1965" s="290" t="s">
        <v>999</v>
      </c>
      <c r="Q1965" s="291" t="s">
        <v>4623</v>
      </c>
      <c r="R1965" s="276"/>
      <c r="S1965" s="277">
        <f>IF(OR(C1965="",C1965=T$4),NA(),MATCH($B1965&amp;$C1965,'Smelter Reference List'!$J:$J,0))</f>
        <v>442</v>
      </c>
      <c r="T1965" s="278"/>
      <c r="U1965" s="278"/>
      <c r="V1965" s="278"/>
      <c r="W1965" s="278"/>
    </row>
    <row r="1966" spans="1:23" s="269" customFormat="1" ht="20.25">
      <c r="A1966" s="267"/>
      <c r="B1966" s="275" t="s">
        <v>2437</v>
      </c>
      <c r="C1966" s="275" t="s">
        <v>3831</v>
      </c>
      <c r="D1966" s="168" t="s">
        <v>7715</v>
      </c>
      <c r="E1966" s="168" t="s">
        <v>1861</v>
      </c>
      <c r="F1966" s="168" t="s">
        <v>4623</v>
      </c>
      <c r="G1966" s="168" t="s">
        <v>4623</v>
      </c>
      <c r="H1966" s="292" t="s">
        <v>4623</v>
      </c>
      <c r="I1966" s="293" t="s">
        <v>4623</v>
      </c>
      <c r="J1966" s="293" t="s">
        <v>4623</v>
      </c>
      <c r="K1966" s="290" t="s">
        <v>4623</v>
      </c>
      <c r="L1966" s="290" t="s">
        <v>4623</v>
      </c>
      <c r="M1966" s="290" t="s">
        <v>4623</v>
      </c>
      <c r="N1966" s="290" t="s">
        <v>4623</v>
      </c>
      <c r="O1966" s="290" t="s">
        <v>4623</v>
      </c>
      <c r="P1966" s="290" t="s">
        <v>999</v>
      </c>
      <c r="Q1966" s="291" t="s">
        <v>4623</v>
      </c>
      <c r="R1966" s="276"/>
      <c r="S1966" s="277">
        <f>IF(OR(C1966="",C1966=T$4),NA(),MATCH($B1966&amp;$C1966,'Smelter Reference List'!$J:$J,0))</f>
        <v>442</v>
      </c>
      <c r="T1966" s="278"/>
      <c r="U1966" s="278"/>
      <c r="V1966" s="278"/>
      <c r="W1966" s="278"/>
    </row>
    <row r="1967" spans="1:23" s="269" customFormat="1" ht="20.25">
      <c r="A1967" s="267"/>
      <c r="B1967" s="275" t="s">
        <v>2437</v>
      </c>
      <c r="C1967" s="275" t="s">
        <v>3831</v>
      </c>
      <c r="D1967" s="168" t="s">
        <v>7716</v>
      </c>
      <c r="E1967" s="168" t="s">
        <v>1861</v>
      </c>
      <c r="F1967" s="168" t="s">
        <v>4623</v>
      </c>
      <c r="G1967" s="168" t="s">
        <v>4623</v>
      </c>
      <c r="H1967" s="292" t="s">
        <v>5177</v>
      </c>
      <c r="I1967" s="293" t="s">
        <v>3603</v>
      </c>
      <c r="J1967" s="293" t="s">
        <v>7717</v>
      </c>
      <c r="K1967" s="290" t="s">
        <v>7718</v>
      </c>
      <c r="L1967" s="290" t="s">
        <v>5179</v>
      </c>
      <c r="M1967" s="290" t="s">
        <v>4623</v>
      </c>
      <c r="N1967" s="290" t="s">
        <v>7719</v>
      </c>
      <c r="O1967" s="290" t="s">
        <v>4667</v>
      </c>
      <c r="P1967" s="290" t="s">
        <v>999</v>
      </c>
      <c r="Q1967" s="291" t="s">
        <v>4623</v>
      </c>
      <c r="R1967" s="276"/>
      <c r="S1967" s="277">
        <f>IF(OR(C1967="",C1967=T$4),NA(),MATCH($B1967&amp;$C1967,'Smelter Reference List'!$J:$J,0))</f>
        <v>442</v>
      </c>
      <c r="T1967" s="278"/>
      <c r="U1967" s="278"/>
      <c r="V1967" s="278"/>
      <c r="W1967" s="278"/>
    </row>
    <row r="1968" spans="1:23" s="269" customFormat="1" ht="20.25">
      <c r="A1968" s="267"/>
      <c r="B1968" s="275" t="s">
        <v>2437</v>
      </c>
      <c r="C1968" s="275" t="s">
        <v>3831</v>
      </c>
      <c r="D1968" s="168" t="s">
        <v>7720</v>
      </c>
      <c r="E1968" s="168" t="s">
        <v>1861</v>
      </c>
      <c r="F1968" s="168" t="s">
        <v>4623</v>
      </c>
      <c r="G1968" s="168" t="s">
        <v>4623</v>
      </c>
      <c r="H1968" s="292" t="s">
        <v>4623</v>
      </c>
      <c r="I1968" s="293" t="s">
        <v>4623</v>
      </c>
      <c r="J1968" s="293" t="s">
        <v>4623</v>
      </c>
      <c r="K1968" s="290" t="s">
        <v>4623</v>
      </c>
      <c r="L1968" s="290" t="s">
        <v>4623</v>
      </c>
      <c r="M1968" s="290" t="s">
        <v>4623</v>
      </c>
      <c r="N1968" s="290" t="s">
        <v>4623</v>
      </c>
      <c r="O1968" s="290" t="s">
        <v>4623</v>
      </c>
      <c r="P1968" s="290" t="s">
        <v>999</v>
      </c>
      <c r="Q1968" s="291" t="s">
        <v>4623</v>
      </c>
      <c r="R1968" s="276"/>
      <c r="S1968" s="277">
        <f>IF(OR(C1968="",C1968=T$4),NA(),MATCH($B1968&amp;$C1968,'Smelter Reference List'!$J:$J,0))</f>
        <v>442</v>
      </c>
      <c r="T1968" s="278"/>
      <c r="U1968" s="278"/>
      <c r="V1968" s="278"/>
      <c r="W1968" s="278"/>
    </row>
    <row r="1969" spans="1:23" s="269" customFormat="1" ht="20.25">
      <c r="A1969" s="267"/>
      <c r="B1969" s="275" t="s">
        <v>2437</v>
      </c>
      <c r="C1969" s="275" t="s">
        <v>3831</v>
      </c>
      <c r="D1969" s="168" t="s">
        <v>7721</v>
      </c>
      <c r="E1969" s="168" t="s">
        <v>1861</v>
      </c>
      <c r="F1969" s="168" t="s">
        <v>4623</v>
      </c>
      <c r="G1969" s="168" t="s">
        <v>4623</v>
      </c>
      <c r="H1969" s="292" t="s">
        <v>4623</v>
      </c>
      <c r="I1969" s="293" t="s">
        <v>4623</v>
      </c>
      <c r="J1969" s="293" t="s">
        <v>4623</v>
      </c>
      <c r="K1969" s="290" t="s">
        <v>4623</v>
      </c>
      <c r="L1969" s="290" t="s">
        <v>4623</v>
      </c>
      <c r="M1969" s="290" t="s">
        <v>6377</v>
      </c>
      <c r="N1969" s="290" t="s">
        <v>5000</v>
      </c>
      <c r="O1969" s="290" t="s">
        <v>5000</v>
      </c>
      <c r="P1969" s="290" t="s">
        <v>999</v>
      </c>
      <c r="Q1969" s="291" t="s">
        <v>4623</v>
      </c>
      <c r="R1969" s="276"/>
      <c r="S1969" s="277">
        <f>IF(OR(C1969="",C1969=T$4),NA(),MATCH($B1969&amp;$C1969,'Smelter Reference List'!$J:$J,0))</f>
        <v>442</v>
      </c>
      <c r="T1969" s="278"/>
      <c r="U1969" s="278"/>
      <c r="V1969" s="278"/>
      <c r="W1969" s="278"/>
    </row>
    <row r="1970" spans="1:23" s="269" customFormat="1" ht="20.25">
      <c r="A1970" s="267"/>
      <c r="B1970" s="275" t="s">
        <v>2437</v>
      </c>
      <c r="C1970" s="275" t="s">
        <v>3831</v>
      </c>
      <c r="D1970" s="168" t="s">
        <v>6901</v>
      </c>
      <c r="E1970" s="168" t="s">
        <v>1861</v>
      </c>
      <c r="F1970" s="168" t="s">
        <v>4623</v>
      </c>
      <c r="G1970" s="168" t="s">
        <v>4623</v>
      </c>
      <c r="H1970" s="292" t="s">
        <v>4623</v>
      </c>
      <c r="I1970" s="293" t="s">
        <v>4623</v>
      </c>
      <c r="J1970" s="293" t="s">
        <v>4623</v>
      </c>
      <c r="K1970" s="290" t="s">
        <v>4623</v>
      </c>
      <c r="L1970" s="290" t="s">
        <v>4623</v>
      </c>
      <c r="M1970" s="290" t="s">
        <v>4623</v>
      </c>
      <c r="N1970" s="290" t="s">
        <v>4623</v>
      </c>
      <c r="O1970" s="290" t="s">
        <v>4623</v>
      </c>
      <c r="P1970" s="290" t="s">
        <v>999</v>
      </c>
      <c r="Q1970" s="291" t="s">
        <v>4623</v>
      </c>
      <c r="R1970" s="276"/>
      <c r="S1970" s="277">
        <f>IF(OR(C1970="",C1970=T$4),NA(),MATCH($B1970&amp;$C1970,'Smelter Reference List'!$J:$J,0))</f>
        <v>442</v>
      </c>
      <c r="T1970" s="278"/>
      <c r="U1970" s="278"/>
      <c r="V1970" s="278"/>
      <c r="W1970" s="278"/>
    </row>
    <row r="1971" spans="1:23" s="269" customFormat="1" ht="20.25">
      <c r="A1971" s="267"/>
      <c r="B1971" s="275" t="s">
        <v>2437</v>
      </c>
      <c r="C1971" s="275" t="s">
        <v>3831</v>
      </c>
      <c r="D1971" s="168" t="s">
        <v>7722</v>
      </c>
      <c r="E1971" s="168" t="s">
        <v>1861</v>
      </c>
      <c r="F1971" s="168" t="s">
        <v>4623</v>
      </c>
      <c r="G1971" s="168" t="s">
        <v>4623</v>
      </c>
      <c r="H1971" s="292" t="s">
        <v>4623</v>
      </c>
      <c r="I1971" s="293" t="s">
        <v>4623</v>
      </c>
      <c r="J1971" s="293" t="s">
        <v>4623</v>
      </c>
      <c r="K1971" s="290" t="s">
        <v>4623</v>
      </c>
      <c r="L1971" s="290" t="s">
        <v>4623</v>
      </c>
      <c r="M1971" s="290" t="s">
        <v>4623</v>
      </c>
      <c r="N1971" s="290" t="s">
        <v>4623</v>
      </c>
      <c r="O1971" s="290" t="s">
        <v>4623</v>
      </c>
      <c r="P1971" s="290" t="s">
        <v>999</v>
      </c>
      <c r="Q1971" s="291" t="s">
        <v>4623</v>
      </c>
      <c r="R1971" s="276"/>
      <c r="S1971" s="277">
        <f>IF(OR(C1971="",C1971=T$4),NA(),MATCH($B1971&amp;$C1971,'Smelter Reference List'!$J:$J,0))</f>
        <v>442</v>
      </c>
      <c r="T1971" s="278"/>
      <c r="U1971" s="278"/>
      <c r="V1971" s="278"/>
      <c r="W1971" s="278"/>
    </row>
    <row r="1972" spans="1:23" s="269" customFormat="1" ht="20.25">
      <c r="A1972" s="267"/>
      <c r="B1972" s="275" t="s">
        <v>2437</v>
      </c>
      <c r="C1972" s="275" t="s">
        <v>3831</v>
      </c>
      <c r="D1972" s="168" t="s">
        <v>7723</v>
      </c>
      <c r="E1972" s="168" t="s">
        <v>1861</v>
      </c>
      <c r="F1972" s="168" t="s">
        <v>4623</v>
      </c>
      <c r="G1972" s="168" t="s">
        <v>4623</v>
      </c>
      <c r="H1972" s="292" t="s">
        <v>7724</v>
      </c>
      <c r="I1972" s="293" t="s">
        <v>4623</v>
      </c>
      <c r="J1972" s="293" t="s">
        <v>4623</v>
      </c>
      <c r="K1972" s="290" t="s">
        <v>4623</v>
      </c>
      <c r="L1972" s="290" t="s">
        <v>4623</v>
      </c>
      <c r="M1972" s="290" t="s">
        <v>4623</v>
      </c>
      <c r="N1972" s="290" t="s">
        <v>4623</v>
      </c>
      <c r="O1972" s="290" t="s">
        <v>4623</v>
      </c>
      <c r="P1972" s="290" t="s">
        <v>999</v>
      </c>
      <c r="Q1972" s="291" t="s">
        <v>4623</v>
      </c>
      <c r="R1972" s="276"/>
      <c r="S1972" s="277">
        <f>IF(OR(C1972="",C1972=T$4),NA(),MATCH($B1972&amp;$C1972,'Smelter Reference List'!$J:$J,0))</f>
        <v>442</v>
      </c>
      <c r="T1972" s="278"/>
      <c r="U1972" s="278"/>
      <c r="V1972" s="278"/>
      <c r="W1972" s="278"/>
    </row>
    <row r="1973" spans="1:23" s="269" customFormat="1" ht="20.25">
      <c r="A1973" s="267"/>
      <c r="B1973" s="275" t="s">
        <v>2437</v>
      </c>
      <c r="C1973" s="275" t="s">
        <v>3831</v>
      </c>
      <c r="D1973" s="168" t="s">
        <v>7725</v>
      </c>
      <c r="E1973" s="168" t="s">
        <v>1861</v>
      </c>
      <c r="F1973" s="168" t="s">
        <v>4623</v>
      </c>
      <c r="G1973" s="168" t="s">
        <v>4623</v>
      </c>
      <c r="H1973" s="292" t="s">
        <v>4623</v>
      </c>
      <c r="I1973" s="293" t="s">
        <v>4623</v>
      </c>
      <c r="J1973" s="293" t="s">
        <v>4623</v>
      </c>
      <c r="K1973" s="290" t="s">
        <v>4623</v>
      </c>
      <c r="L1973" s="290" t="s">
        <v>4623</v>
      </c>
      <c r="M1973" s="290" t="s">
        <v>4623</v>
      </c>
      <c r="N1973" s="290" t="s">
        <v>4623</v>
      </c>
      <c r="O1973" s="290" t="s">
        <v>4623</v>
      </c>
      <c r="P1973" s="290" t="s">
        <v>999</v>
      </c>
      <c r="Q1973" s="291" t="s">
        <v>4623</v>
      </c>
      <c r="R1973" s="276"/>
      <c r="S1973" s="277">
        <f>IF(OR(C1973="",C1973=T$4),NA(),MATCH($B1973&amp;$C1973,'Smelter Reference List'!$J:$J,0))</f>
        <v>442</v>
      </c>
      <c r="T1973" s="278"/>
      <c r="U1973" s="278"/>
      <c r="V1973" s="278"/>
      <c r="W1973" s="278"/>
    </row>
    <row r="1974" spans="1:23" s="269" customFormat="1" ht="20.25">
      <c r="A1974" s="267"/>
      <c r="B1974" s="275" t="s">
        <v>2437</v>
      </c>
      <c r="C1974" s="275" t="s">
        <v>3831</v>
      </c>
      <c r="D1974" s="168" t="s">
        <v>7726</v>
      </c>
      <c r="E1974" s="168" t="s">
        <v>1861</v>
      </c>
      <c r="F1974" s="168" t="s">
        <v>4623</v>
      </c>
      <c r="G1974" s="168" t="s">
        <v>4623</v>
      </c>
      <c r="H1974" s="292" t="s">
        <v>4623</v>
      </c>
      <c r="I1974" s="293" t="s">
        <v>4623</v>
      </c>
      <c r="J1974" s="293" t="s">
        <v>4623</v>
      </c>
      <c r="K1974" s="290" t="s">
        <v>4623</v>
      </c>
      <c r="L1974" s="290" t="s">
        <v>4623</v>
      </c>
      <c r="M1974" s="290" t="s">
        <v>4623</v>
      </c>
      <c r="N1974" s="290" t="s">
        <v>4623</v>
      </c>
      <c r="O1974" s="290" t="s">
        <v>4623</v>
      </c>
      <c r="P1974" s="290" t="s">
        <v>999</v>
      </c>
      <c r="Q1974" s="291" t="s">
        <v>4623</v>
      </c>
      <c r="R1974" s="276"/>
      <c r="S1974" s="277">
        <f>IF(OR(C1974="",C1974=T$4),NA(),MATCH($B1974&amp;$C1974,'Smelter Reference List'!$J:$J,0))</f>
        <v>442</v>
      </c>
      <c r="T1974" s="278"/>
      <c r="U1974" s="278"/>
      <c r="V1974" s="278"/>
      <c r="W1974" s="278"/>
    </row>
    <row r="1975" spans="1:23" s="269" customFormat="1" ht="20.25">
      <c r="A1975" s="267"/>
      <c r="B1975" s="275" t="s">
        <v>2437</v>
      </c>
      <c r="C1975" s="275" t="s">
        <v>3831</v>
      </c>
      <c r="D1975" s="168" t="s">
        <v>6932</v>
      </c>
      <c r="E1975" s="168" t="s">
        <v>1861</v>
      </c>
      <c r="F1975" s="168" t="s">
        <v>4623</v>
      </c>
      <c r="G1975" s="168" t="s">
        <v>4623</v>
      </c>
      <c r="H1975" s="292" t="s">
        <v>4623</v>
      </c>
      <c r="I1975" s="293" t="s">
        <v>4623</v>
      </c>
      <c r="J1975" s="293" t="s">
        <v>4623</v>
      </c>
      <c r="K1975" s="290" t="s">
        <v>4623</v>
      </c>
      <c r="L1975" s="290" t="s">
        <v>4623</v>
      </c>
      <c r="M1975" s="290" t="s">
        <v>6377</v>
      </c>
      <c r="N1975" s="290" t="s">
        <v>5000</v>
      </c>
      <c r="O1975" s="290" t="s">
        <v>5000</v>
      </c>
      <c r="P1975" s="290" t="s">
        <v>999</v>
      </c>
      <c r="Q1975" s="291" t="s">
        <v>4623</v>
      </c>
      <c r="R1975" s="276"/>
      <c r="S1975" s="277">
        <f>IF(OR(C1975="",C1975=T$4),NA(),MATCH($B1975&amp;$C1975,'Smelter Reference List'!$J:$J,0))</f>
        <v>442</v>
      </c>
      <c r="T1975" s="278"/>
      <c r="U1975" s="278"/>
      <c r="V1975" s="278"/>
      <c r="W1975" s="278"/>
    </row>
    <row r="1976" spans="1:23" s="269" customFormat="1" ht="20.25">
      <c r="A1976" s="267"/>
      <c r="B1976" s="275" t="s">
        <v>2437</v>
      </c>
      <c r="C1976" s="275" t="s">
        <v>3831</v>
      </c>
      <c r="D1976" s="168" t="s">
        <v>7727</v>
      </c>
      <c r="E1976" s="168" t="s">
        <v>1861</v>
      </c>
      <c r="F1976" s="168" t="s">
        <v>4623</v>
      </c>
      <c r="G1976" s="168" t="s">
        <v>4623</v>
      </c>
      <c r="H1976" s="292" t="s">
        <v>4623</v>
      </c>
      <c r="I1976" s="293" t="s">
        <v>4623</v>
      </c>
      <c r="J1976" s="293" t="s">
        <v>4623</v>
      </c>
      <c r="K1976" s="290" t="s">
        <v>4623</v>
      </c>
      <c r="L1976" s="290" t="s">
        <v>4623</v>
      </c>
      <c r="M1976" s="290" t="s">
        <v>4623</v>
      </c>
      <c r="N1976" s="290" t="s">
        <v>4623</v>
      </c>
      <c r="O1976" s="290" t="s">
        <v>4623</v>
      </c>
      <c r="P1976" s="290" t="s">
        <v>999</v>
      </c>
      <c r="Q1976" s="291" t="s">
        <v>4623</v>
      </c>
      <c r="R1976" s="276"/>
      <c r="S1976" s="277">
        <f>IF(OR(C1976="",C1976=T$4),NA(),MATCH($B1976&amp;$C1976,'Smelter Reference List'!$J:$J,0))</f>
        <v>442</v>
      </c>
      <c r="T1976" s="278"/>
      <c r="U1976" s="278"/>
      <c r="V1976" s="278"/>
      <c r="W1976" s="278"/>
    </row>
    <row r="1977" spans="1:23" s="269" customFormat="1" ht="20.25">
      <c r="A1977" s="267"/>
      <c r="B1977" s="275" t="s">
        <v>2437</v>
      </c>
      <c r="C1977" s="275" t="s">
        <v>3831</v>
      </c>
      <c r="D1977" s="168" t="s">
        <v>7728</v>
      </c>
      <c r="E1977" s="168" t="s">
        <v>1861</v>
      </c>
      <c r="F1977" s="168" t="s">
        <v>4623</v>
      </c>
      <c r="G1977" s="168" t="s">
        <v>4623</v>
      </c>
      <c r="H1977" s="292" t="s">
        <v>4623</v>
      </c>
      <c r="I1977" s="293" t="s">
        <v>4623</v>
      </c>
      <c r="J1977" s="293" t="s">
        <v>4623</v>
      </c>
      <c r="K1977" s="290" t="s">
        <v>4623</v>
      </c>
      <c r="L1977" s="290" t="s">
        <v>4623</v>
      </c>
      <c r="M1977" s="290" t="s">
        <v>4623</v>
      </c>
      <c r="N1977" s="290" t="s">
        <v>4623</v>
      </c>
      <c r="O1977" s="290" t="s">
        <v>4623</v>
      </c>
      <c r="P1977" s="290" t="s">
        <v>999</v>
      </c>
      <c r="Q1977" s="291" t="s">
        <v>4623</v>
      </c>
      <c r="R1977" s="276"/>
      <c r="S1977" s="277">
        <f>IF(OR(C1977="",C1977=T$4),NA(),MATCH($B1977&amp;$C1977,'Smelter Reference List'!$J:$J,0))</f>
        <v>442</v>
      </c>
      <c r="T1977" s="278"/>
      <c r="U1977" s="278"/>
      <c r="V1977" s="278"/>
      <c r="W1977" s="278"/>
    </row>
    <row r="1978" spans="1:23" s="269" customFormat="1" ht="20.25">
      <c r="A1978" s="267"/>
      <c r="B1978" s="275" t="s">
        <v>2437</v>
      </c>
      <c r="C1978" s="275" t="s">
        <v>3831</v>
      </c>
      <c r="D1978" s="168" t="s">
        <v>7729</v>
      </c>
      <c r="E1978" s="168" t="s">
        <v>1861</v>
      </c>
      <c r="F1978" s="168" t="s">
        <v>4623</v>
      </c>
      <c r="G1978" s="168" t="s">
        <v>4623</v>
      </c>
      <c r="H1978" s="292" t="s">
        <v>4623</v>
      </c>
      <c r="I1978" s="293" t="s">
        <v>4623</v>
      </c>
      <c r="J1978" s="293" t="s">
        <v>4623</v>
      </c>
      <c r="K1978" s="290" t="s">
        <v>4623</v>
      </c>
      <c r="L1978" s="290" t="s">
        <v>4623</v>
      </c>
      <c r="M1978" s="290" t="s">
        <v>4623</v>
      </c>
      <c r="N1978" s="290" t="s">
        <v>4633</v>
      </c>
      <c r="O1978" s="290" t="s">
        <v>4623</v>
      </c>
      <c r="P1978" s="290" t="s">
        <v>999</v>
      </c>
      <c r="Q1978" s="291" t="s">
        <v>4623</v>
      </c>
      <c r="R1978" s="276"/>
      <c r="S1978" s="277">
        <f>IF(OR(C1978="",C1978=T$4),NA(),MATCH($B1978&amp;$C1978,'Smelter Reference List'!$J:$J,0))</f>
        <v>442</v>
      </c>
      <c r="T1978" s="278"/>
      <c r="U1978" s="278"/>
      <c r="V1978" s="278"/>
      <c r="W1978" s="278"/>
    </row>
    <row r="1979" spans="1:23" s="269" customFormat="1" ht="20.25">
      <c r="A1979" s="267"/>
      <c r="B1979" s="275" t="s">
        <v>2437</v>
      </c>
      <c r="C1979" s="275" t="s">
        <v>3831</v>
      </c>
      <c r="D1979" s="168" t="s">
        <v>7730</v>
      </c>
      <c r="E1979" s="168" t="s">
        <v>1861</v>
      </c>
      <c r="F1979" s="168" t="s">
        <v>4623</v>
      </c>
      <c r="G1979" s="168" t="s">
        <v>4623</v>
      </c>
      <c r="H1979" s="292" t="s">
        <v>4623</v>
      </c>
      <c r="I1979" s="293" t="s">
        <v>4623</v>
      </c>
      <c r="J1979" s="293" t="s">
        <v>4623</v>
      </c>
      <c r="K1979" s="290" t="s">
        <v>4623</v>
      </c>
      <c r="L1979" s="290" t="s">
        <v>4623</v>
      </c>
      <c r="M1979" s="290" t="s">
        <v>4623</v>
      </c>
      <c r="N1979" s="290" t="s">
        <v>4623</v>
      </c>
      <c r="O1979" s="290" t="s">
        <v>4623</v>
      </c>
      <c r="P1979" s="290" t="s">
        <v>999</v>
      </c>
      <c r="Q1979" s="291" t="s">
        <v>4726</v>
      </c>
      <c r="R1979" s="276"/>
      <c r="S1979" s="277">
        <f>IF(OR(C1979="",C1979=T$4),NA(),MATCH($B1979&amp;$C1979,'Smelter Reference List'!$J:$J,0))</f>
        <v>442</v>
      </c>
      <c r="T1979" s="278"/>
      <c r="U1979" s="278"/>
      <c r="V1979" s="278"/>
      <c r="W1979" s="278"/>
    </row>
    <row r="1980" spans="1:23" s="269" customFormat="1" ht="20.25">
      <c r="A1980" s="267"/>
      <c r="B1980" s="275" t="s">
        <v>2437</v>
      </c>
      <c r="C1980" s="275" t="s">
        <v>3831</v>
      </c>
      <c r="D1980" s="168" t="s">
        <v>7731</v>
      </c>
      <c r="E1980" s="168" t="s">
        <v>1861</v>
      </c>
      <c r="F1980" s="168" t="s">
        <v>4623</v>
      </c>
      <c r="G1980" s="168" t="s">
        <v>4623</v>
      </c>
      <c r="H1980" s="292" t="s">
        <v>4623</v>
      </c>
      <c r="I1980" s="293" t="s">
        <v>4623</v>
      </c>
      <c r="J1980" s="293" t="s">
        <v>4623</v>
      </c>
      <c r="K1980" s="290" t="s">
        <v>4623</v>
      </c>
      <c r="L1980" s="290" t="s">
        <v>4623</v>
      </c>
      <c r="M1980" s="290" t="s">
        <v>4623</v>
      </c>
      <c r="N1980" s="290" t="s">
        <v>4623</v>
      </c>
      <c r="O1980" s="290" t="s">
        <v>4623</v>
      </c>
      <c r="P1980" s="290" t="s">
        <v>999</v>
      </c>
      <c r="Q1980" s="291" t="s">
        <v>4623</v>
      </c>
      <c r="R1980" s="276"/>
      <c r="S1980" s="277">
        <f>IF(OR(C1980="",C1980=T$4),NA(),MATCH($B1980&amp;$C1980,'Smelter Reference List'!$J:$J,0))</f>
        <v>442</v>
      </c>
      <c r="T1980" s="278"/>
      <c r="U1980" s="278"/>
      <c r="V1980" s="278"/>
      <c r="W1980" s="278"/>
    </row>
    <row r="1981" spans="1:23" s="269" customFormat="1" ht="20.25">
      <c r="A1981" s="267"/>
      <c r="B1981" s="275" t="s">
        <v>2437</v>
      </c>
      <c r="C1981" s="275" t="s">
        <v>3831</v>
      </c>
      <c r="D1981" s="168" t="s">
        <v>7732</v>
      </c>
      <c r="E1981" s="168" t="s">
        <v>1862</v>
      </c>
      <c r="F1981" s="168" t="s">
        <v>4623</v>
      </c>
      <c r="G1981" s="168" t="s">
        <v>4623</v>
      </c>
      <c r="H1981" s="292" t="s">
        <v>4623</v>
      </c>
      <c r="I1981" s="293" t="s">
        <v>4623</v>
      </c>
      <c r="J1981" s="293" t="s">
        <v>4623</v>
      </c>
      <c r="K1981" s="290" t="s">
        <v>4623</v>
      </c>
      <c r="L1981" s="290" t="s">
        <v>4623</v>
      </c>
      <c r="M1981" s="290" t="s">
        <v>4623</v>
      </c>
      <c r="N1981" s="290" t="s">
        <v>4623</v>
      </c>
      <c r="O1981" s="290" t="s">
        <v>4623</v>
      </c>
      <c r="P1981" s="290" t="s">
        <v>999</v>
      </c>
      <c r="Q1981" s="291" t="s">
        <v>4623</v>
      </c>
      <c r="R1981" s="276"/>
      <c r="S1981" s="277">
        <f>IF(OR(C1981="",C1981=T$4),NA(),MATCH($B1981&amp;$C1981,'Smelter Reference List'!$J:$J,0))</f>
        <v>442</v>
      </c>
      <c r="T1981" s="278"/>
      <c r="U1981" s="278"/>
      <c r="V1981" s="278"/>
      <c r="W1981" s="278"/>
    </row>
    <row r="1982" spans="1:23" s="269" customFormat="1" ht="20.25">
      <c r="A1982" s="267"/>
      <c r="B1982" s="275" t="s">
        <v>2437</v>
      </c>
      <c r="C1982" s="275" t="s">
        <v>3831</v>
      </c>
      <c r="D1982" s="168" t="s">
        <v>7733</v>
      </c>
      <c r="E1982" s="168" t="s">
        <v>1851</v>
      </c>
      <c r="F1982" s="168" t="s">
        <v>4623</v>
      </c>
      <c r="G1982" s="168" t="s">
        <v>4623</v>
      </c>
      <c r="H1982" s="292" t="s">
        <v>7734</v>
      </c>
      <c r="I1982" s="293" t="s">
        <v>7735</v>
      </c>
      <c r="J1982" s="293" t="s">
        <v>7736</v>
      </c>
      <c r="K1982" s="290" t="s">
        <v>4623</v>
      </c>
      <c r="L1982" s="290" t="s">
        <v>4623</v>
      </c>
      <c r="M1982" s="290" t="s">
        <v>4623</v>
      </c>
      <c r="N1982" s="290" t="s">
        <v>4623</v>
      </c>
      <c r="O1982" s="290" t="s">
        <v>4623</v>
      </c>
      <c r="P1982" s="290" t="s">
        <v>999</v>
      </c>
      <c r="Q1982" s="291" t="s">
        <v>4623</v>
      </c>
      <c r="R1982" s="276"/>
      <c r="S1982" s="277">
        <f>IF(OR(C1982="",C1982=T$4),NA(),MATCH($B1982&amp;$C1982,'Smelter Reference List'!$J:$J,0))</f>
        <v>442</v>
      </c>
      <c r="T1982" s="278"/>
      <c r="U1982" s="278"/>
      <c r="V1982" s="278"/>
      <c r="W1982" s="278"/>
    </row>
    <row r="1983" spans="1:23" s="269" customFormat="1" ht="20.25">
      <c r="A1983" s="267"/>
      <c r="B1983" s="275" t="s">
        <v>2437</v>
      </c>
      <c r="C1983" s="275" t="s">
        <v>3831</v>
      </c>
      <c r="D1983" s="168" t="s">
        <v>7737</v>
      </c>
      <c r="E1983" s="168" t="s">
        <v>1851</v>
      </c>
      <c r="F1983" s="168" t="s">
        <v>4623</v>
      </c>
      <c r="G1983" s="168" t="s">
        <v>4623</v>
      </c>
      <c r="H1983" s="292" t="s">
        <v>7738</v>
      </c>
      <c r="I1983" s="293" t="s">
        <v>7739</v>
      </c>
      <c r="J1983" s="293" t="s">
        <v>4623</v>
      </c>
      <c r="K1983" s="290" t="s">
        <v>7740</v>
      </c>
      <c r="L1983" s="290" t="s">
        <v>7741</v>
      </c>
      <c r="M1983" s="290" t="s">
        <v>7737</v>
      </c>
      <c r="N1983" s="290" t="s">
        <v>7735</v>
      </c>
      <c r="O1983" s="290" t="s">
        <v>4623</v>
      </c>
      <c r="P1983" s="290" t="s">
        <v>999</v>
      </c>
      <c r="Q1983" s="291" t="s">
        <v>4623</v>
      </c>
      <c r="R1983" s="276"/>
      <c r="S1983" s="277">
        <f>IF(OR(C1983="",C1983=T$4),NA(),MATCH($B1983&amp;$C1983,'Smelter Reference List'!$J:$J,0))</f>
        <v>442</v>
      </c>
      <c r="T1983" s="278"/>
      <c r="U1983" s="278"/>
      <c r="V1983" s="278"/>
      <c r="W1983" s="278"/>
    </row>
    <row r="1984" spans="1:23" s="269" customFormat="1" ht="20.25">
      <c r="A1984" s="267"/>
      <c r="B1984" s="275" t="s">
        <v>2437</v>
      </c>
      <c r="C1984" s="275" t="s">
        <v>3831</v>
      </c>
      <c r="D1984" s="168" t="s">
        <v>6709</v>
      </c>
      <c r="E1984" s="168" t="s">
        <v>1851</v>
      </c>
      <c r="F1984" s="168" t="s">
        <v>4623</v>
      </c>
      <c r="G1984" s="168" t="s">
        <v>4623</v>
      </c>
      <c r="H1984" s="292" t="s">
        <v>4623</v>
      </c>
      <c r="I1984" s="293" t="s">
        <v>4623</v>
      </c>
      <c r="J1984" s="293" t="s">
        <v>4623</v>
      </c>
      <c r="K1984" s="290" t="s">
        <v>4623</v>
      </c>
      <c r="L1984" s="290" t="s">
        <v>4623</v>
      </c>
      <c r="M1984" s="290" t="s">
        <v>4623</v>
      </c>
      <c r="N1984" s="290" t="s">
        <v>4623</v>
      </c>
      <c r="O1984" s="290" t="s">
        <v>4623</v>
      </c>
      <c r="P1984" s="290" t="s">
        <v>999</v>
      </c>
      <c r="Q1984" s="291" t="s">
        <v>4623</v>
      </c>
      <c r="R1984" s="276"/>
      <c r="S1984" s="277">
        <f>IF(OR(C1984="",C1984=T$4),NA(),MATCH($B1984&amp;$C1984,'Smelter Reference List'!$J:$J,0))</f>
        <v>442</v>
      </c>
      <c r="T1984" s="278"/>
      <c r="U1984" s="278"/>
      <c r="V1984" s="278"/>
      <c r="W1984" s="278"/>
    </row>
    <row r="1985" spans="1:23" s="269" customFormat="1" ht="20.25">
      <c r="A1985" s="267"/>
      <c r="B1985" s="275" t="s">
        <v>2437</v>
      </c>
      <c r="C1985" s="275" t="s">
        <v>3831</v>
      </c>
      <c r="D1985" s="168" t="s">
        <v>7742</v>
      </c>
      <c r="E1985" s="168" t="s">
        <v>1851</v>
      </c>
      <c r="F1985" s="168" t="s">
        <v>4623</v>
      </c>
      <c r="G1985" s="168" t="s">
        <v>4623</v>
      </c>
      <c r="H1985" s="292" t="s">
        <v>4623</v>
      </c>
      <c r="I1985" s="293" t="s">
        <v>4623</v>
      </c>
      <c r="J1985" s="293" t="s">
        <v>4623</v>
      </c>
      <c r="K1985" s="290" t="s">
        <v>4623</v>
      </c>
      <c r="L1985" s="290" t="s">
        <v>4623</v>
      </c>
      <c r="M1985" s="290" t="s">
        <v>4623</v>
      </c>
      <c r="N1985" s="290" t="s">
        <v>4623</v>
      </c>
      <c r="O1985" s="290" t="s">
        <v>4623</v>
      </c>
      <c r="P1985" s="290" t="s">
        <v>999</v>
      </c>
      <c r="Q1985" s="291" t="s">
        <v>4623</v>
      </c>
      <c r="R1985" s="276"/>
      <c r="S1985" s="277">
        <f>IF(OR(C1985="",C1985=T$4),NA(),MATCH($B1985&amp;$C1985,'Smelter Reference List'!$J:$J,0))</f>
        <v>442</v>
      </c>
      <c r="T1985" s="278"/>
      <c r="U1985" s="278"/>
      <c r="V1985" s="278"/>
      <c r="W1985" s="278"/>
    </row>
    <row r="1986" spans="1:23" s="269" customFormat="1" ht="20.25">
      <c r="A1986" s="267"/>
      <c r="B1986" s="275" t="s">
        <v>2437</v>
      </c>
      <c r="C1986" s="275" t="s">
        <v>3831</v>
      </c>
      <c r="D1986" s="168" t="s">
        <v>7743</v>
      </c>
      <c r="E1986" s="168" t="s">
        <v>1851</v>
      </c>
      <c r="F1986" s="168" t="s">
        <v>4623</v>
      </c>
      <c r="G1986" s="168" t="s">
        <v>4623</v>
      </c>
      <c r="H1986" s="292" t="s">
        <v>4623</v>
      </c>
      <c r="I1986" s="293" t="s">
        <v>4623</v>
      </c>
      <c r="J1986" s="293" t="s">
        <v>4623</v>
      </c>
      <c r="K1986" s="290" t="s">
        <v>4623</v>
      </c>
      <c r="L1986" s="290" t="s">
        <v>4623</v>
      </c>
      <c r="M1986" s="290" t="s">
        <v>4623</v>
      </c>
      <c r="N1986" s="290" t="s">
        <v>4623</v>
      </c>
      <c r="O1986" s="290" t="s">
        <v>4623</v>
      </c>
      <c r="P1986" s="290" t="s">
        <v>999</v>
      </c>
      <c r="Q1986" s="291" t="s">
        <v>4623</v>
      </c>
      <c r="R1986" s="276"/>
      <c r="S1986" s="277">
        <f>IF(OR(C1986="",C1986=T$4),NA(),MATCH($B1986&amp;$C1986,'Smelter Reference List'!$J:$J,0))</f>
        <v>442</v>
      </c>
      <c r="T1986" s="278"/>
      <c r="U1986" s="278"/>
      <c r="V1986" s="278"/>
      <c r="W1986" s="278"/>
    </row>
    <row r="1987" spans="1:23" s="269" customFormat="1" ht="20.25">
      <c r="A1987" s="267"/>
      <c r="B1987" s="275" t="s">
        <v>2437</v>
      </c>
      <c r="C1987" s="275" t="s">
        <v>3831</v>
      </c>
      <c r="D1987" s="168" t="s">
        <v>7744</v>
      </c>
      <c r="E1987" s="168" t="s">
        <v>1851</v>
      </c>
      <c r="F1987" s="168" t="s">
        <v>4623</v>
      </c>
      <c r="G1987" s="168" t="s">
        <v>4623</v>
      </c>
      <c r="H1987" s="292" t="s">
        <v>4623</v>
      </c>
      <c r="I1987" s="293" t="s">
        <v>4623</v>
      </c>
      <c r="J1987" s="293" t="s">
        <v>4623</v>
      </c>
      <c r="K1987" s="290" t="s">
        <v>4623</v>
      </c>
      <c r="L1987" s="290" t="s">
        <v>4623</v>
      </c>
      <c r="M1987" s="290" t="s">
        <v>4623</v>
      </c>
      <c r="N1987" s="290" t="s">
        <v>4709</v>
      </c>
      <c r="O1987" s="290" t="s">
        <v>4623</v>
      </c>
      <c r="P1987" s="290" t="s">
        <v>999</v>
      </c>
      <c r="Q1987" s="291" t="s">
        <v>4726</v>
      </c>
      <c r="R1987" s="276"/>
      <c r="S1987" s="277">
        <f>IF(OR(C1987="",C1987=T$4),NA(),MATCH($B1987&amp;$C1987,'Smelter Reference List'!$J:$J,0))</f>
        <v>442</v>
      </c>
      <c r="T1987" s="278"/>
      <c r="U1987" s="278"/>
      <c r="V1987" s="278"/>
      <c r="W1987" s="278"/>
    </row>
    <row r="1988" spans="1:23" s="269" customFormat="1" ht="20.25">
      <c r="A1988" s="267"/>
      <c r="B1988" s="275" t="s">
        <v>2437</v>
      </c>
      <c r="C1988" s="275" t="s">
        <v>3831</v>
      </c>
      <c r="D1988" s="168" t="s">
        <v>75</v>
      </c>
      <c r="E1988" s="168" t="s">
        <v>1851</v>
      </c>
      <c r="F1988" s="168" t="s">
        <v>4623</v>
      </c>
      <c r="G1988" s="168" t="s">
        <v>4623</v>
      </c>
      <c r="H1988" s="292" t="s">
        <v>7745</v>
      </c>
      <c r="I1988" s="293" t="s">
        <v>4623</v>
      </c>
      <c r="J1988" s="293" t="s">
        <v>4623</v>
      </c>
      <c r="K1988" s="290" t="s">
        <v>7746</v>
      </c>
      <c r="L1988" s="290" t="s">
        <v>7747</v>
      </c>
      <c r="M1988" s="290" t="s">
        <v>4623</v>
      </c>
      <c r="N1988" s="290" t="s">
        <v>4623</v>
      </c>
      <c r="O1988" s="290" t="s">
        <v>4623</v>
      </c>
      <c r="P1988" s="290" t="s">
        <v>999</v>
      </c>
      <c r="Q1988" s="291" t="s">
        <v>4623</v>
      </c>
      <c r="R1988" s="276"/>
      <c r="S1988" s="277">
        <f>IF(OR(C1988="",C1988=T$4),NA(),MATCH($B1988&amp;$C1988,'Smelter Reference List'!$J:$J,0))</f>
        <v>442</v>
      </c>
      <c r="T1988" s="278"/>
      <c r="U1988" s="278"/>
      <c r="V1988" s="278"/>
      <c r="W1988" s="278"/>
    </row>
    <row r="1989" spans="1:23" s="269" customFormat="1" ht="20.25">
      <c r="A1989" s="267"/>
      <c r="B1989" s="275" t="s">
        <v>2437</v>
      </c>
      <c r="C1989" s="275" t="s">
        <v>3831</v>
      </c>
      <c r="D1989" s="168" t="s">
        <v>7748</v>
      </c>
      <c r="E1989" s="168" t="s">
        <v>1851</v>
      </c>
      <c r="F1989" s="168" t="s">
        <v>4623</v>
      </c>
      <c r="G1989" s="168" t="s">
        <v>4623</v>
      </c>
      <c r="H1989" s="292" t="s">
        <v>4623</v>
      </c>
      <c r="I1989" s="293" t="s">
        <v>4623</v>
      </c>
      <c r="J1989" s="293" t="s">
        <v>4623</v>
      </c>
      <c r="K1989" s="290" t="s">
        <v>4623</v>
      </c>
      <c r="L1989" s="290" t="s">
        <v>4623</v>
      </c>
      <c r="M1989" s="290" t="s">
        <v>4623</v>
      </c>
      <c r="N1989" s="290" t="s">
        <v>4623</v>
      </c>
      <c r="O1989" s="290" t="s">
        <v>4623</v>
      </c>
      <c r="P1989" s="290" t="s">
        <v>999</v>
      </c>
      <c r="Q1989" s="291" t="s">
        <v>4623</v>
      </c>
      <c r="R1989" s="276"/>
      <c r="S1989" s="277">
        <f>IF(OR(C1989="",C1989=T$4),NA(),MATCH($B1989&amp;$C1989,'Smelter Reference List'!$J:$J,0))</f>
        <v>442</v>
      </c>
      <c r="T1989" s="278"/>
      <c r="U1989" s="278"/>
      <c r="V1989" s="278"/>
      <c r="W1989" s="278"/>
    </row>
    <row r="1990" spans="1:23" s="269" customFormat="1" ht="20.25">
      <c r="A1990" s="267"/>
      <c r="B1990" s="275" t="s">
        <v>2437</v>
      </c>
      <c r="C1990" s="275" t="s">
        <v>3831</v>
      </c>
      <c r="D1990" s="168" t="s">
        <v>7749</v>
      </c>
      <c r="E1990" s="168" t="s">
        <v>1851</v>
      </c>
      <c r="F1990" s="168" t="s">
        <v>4623</v>
      </c>
      <c r="G1990" s="168" t="s">
        <v>4623</v>
      </c>
      <c r="H1990" s="292" t="s">
        <v>7750</v>
      </c>
      <c r="I1990" s="293" t="s">
        <v>3733</v>
      </c>
      <c r="J1990" s="293" t="s">
        <v>4623</v>
      </c>
      <c r="K1990" s="290" t="s">
        <v>4623</v>
      </c>
      <c r="L1990" s="290" t="s">
        <v>4623</v>
      </c>
      <c r="M1990" s="290" t="s">
        <v>4623</v>
      </c>
      <c r="N1990" s="290" t="s">
        <v>4623</v>
      </c>
      <c r="O1990" s="290" t="s">
        <v>4623</v>
      </c>
      <c r="P1990" s="290" t="s">
        <v>999</v>
      </c>
      <c r="Q1990" s="291" t="s">
        <v>4623</v>
      </c>
      <c r="R1990" s="276"/>
      <c r="S1990" s="277">
        <f>IF(OR(C1990="",C1990=T$4),NA(),MATCH($B1990&amp;$C1990,'Smelter Reference List'!$J:$J,0))</f>
        <v>442</v>
      </c>
      <c r="T1990" s="278"/>
      <c r="U1990" s="278"/>
      <c r="V1990" s="278"/>
      <c r="W1990" s="278"/>
    </row>
    <row r="1991" spans="1:23" s="269" customFormat="1" ht="20.25">
      <c r="A1991" s="267"/>
      <c r="B1991" s="275" t="s">
        <v>2437</v>
      </c>
      <c r="C1991" s="275" t="s">
        <v>3831</v>
      </c>
      <c r="D1991" s="168" t="s">
        <v>7751</v>
      </c>
      <c r="E1991" s="168" t="s">
        <v>1851</v>
      </c>
      <c r="F1991" s="168" t="s">
        <v>4623</v>
      </c>
      <c r="G1991" s="168" t="s">
        <v>4623</v>
      </c>
      <c r="H1991" s="292" t="s">
        <v>4623</v>
      </c>
      <c r="I1991" s="293" t="s">
        <v>4623</v>
      </c>
      <c r="J1991" s="293" t="s">
        <v>4623</v>
      </c>
      <c r="K1991" s="290" t="s">
        <v>4623</v>
      </c>
      <c r="L1991" s="290" t="s">
        <v>4623</v>
      </c>
      <c r="M1991" s="290" t="s">
        <v>4623</v>
      </c>
      <c r="N1991" s="290" t="s">
        <v>4623</v>
      </c>
      <c r="O1991" s="290" t="s">
        <v>4623</v>
      </c>
      <c r="P1991" s="290" t="s">
        <v>999</v>
      </c>
      <c r="Q1991" s="291" t="s">
        <v>4623</v>
      </c>
      <c r="R1991" s="276"/>
      <c r="S1991" s="277">
        <f>IF(OR(C1991="",C1991=T$4),NA(),MATCH($B1991&amp;$C1991,'Smelter Reference List'!$J:$J,0))</f>
        <v>442</v>
      </c>
      <c r="T1991" s="278"/>
      <c r="U1991" s="278"/>
      <c r="V1991" s="278"/>
      <c r="W1991" s="278"/>
    </row>
    <row r="1992" spans="1:23" s="269" customFormat="1" ht="20.25">
      <c r="A1992" s="267"/>
      <c r="B1992" s="275" t="s">
        <v>2437</v>
      </c>
      <c r="C1992" s="275" t="s">
        <v>3831</v>
      </c>
      <c r="D1992" s="168" t="s">
        <v>7633</v>
      </c>
      <c r="E1992" s="168" t="s">
        <v>1851</v>
      </c>
      <c r="F1992" s="168" t="s">
        <v>4623</v>
      </c>
      <c r="G1992" s="168" t="s">
        <v>4623</v>
      </c>
      <c r="H1992" s="292" t="s">
        <v>4623</v>
      </c>
      <c r="I1992" s="293" t="s">
        <v>4623</v>
      </c>
      <c r="J1992" s="293" t="s">
        <v>4623</v>
      </c>
      <c r="K1992" s="290" t="s">
        <v>4623</v>
      </c>
      <c r="L1992" s="290" t="s">
        <v>4623</v>
      </c>
      <c r="M1992" s="290" t="s">
        <v>6377</v>
      </c>
      <c r="N1992" s="290" t="s">
        <v>5000</v>
      </c>
      <c r="O1992" s="290" t="s">
        <v>5000</v>
      </c>
      <c r="P1992" s="290" t="s">
        <v>999</v>
      </c>
      <c r="Q1992" s="291" t="s">
        <v>4623</v>
      </c>
      <c r="R1992" s="276"/>
      <c r="S1992" s="277">
        <f>IF(OR(C1992="",C1992=T$4),NA(),MATCH($B1992&amp;$C1992,'Smelter Reference List'!$J:$J,0))</f>
        <v>442</v>
      </c>
      <c r="T1992" s="278"/>
      <c r="U1992" s="278"/>
      <c r="V1992" s="278"/>
      <c r="W1992" s="278"/>
    </row>
    <row r="1993" spans="1:23" s="269" customFormat="1" ht="20.25">
      <c r="A1993" s="267"/>
      <c r="B1993" s="275" t="s">
        <v>2437</v>
      </c>
      <c r="C1993" s="275" t="s">
        <v>3831</v>
      </c>
      <c r="D1993" s="168" t="s">
        <v>6556</v>
      </c>
      <c r="E1993" s="168" t="s">
        <v>1859</v>
      </c>
      <c r="F1993" s="168" t="s">
        <v>4623</v>
      </c>
      <c r="G1993" s="168" t="s">
        <v>4623</v>
      </c>
      <c r="H1993" s="292" t="s">
        <v>4623</v>
      </c>
      <c r="I1993" s="293" t="s">
        <v>4623</v>
      </c>
      <c r="J1993" s="293" t="s">
        <v>4623</v>
      </c>
      <c r="K1993" s="290" t="s">
        <v>4623</v>
      </c>
      <c r="L1993" s="290" t="s">
        <v>4623</v>
      </c>
      <c r="M1993" s="290" t="s">
        <v>4623</v>
      </c>
      <c r="N1993" s="290" t="s">
        <v>4623</v>
      </c>
      <c r="O1993" s="290" t="s">
        <v>4623</v>
      </c>
      <c r="P1993" s="290" t="s">
        <v>999</v>
      </c>
      <c r="Q1993" s="291" t="s">
        <v>4623</v>
      </c>
      <c r="R1993" s="276"/>
      <c r="S1993" s="277">
        <f>IF(OR(C1993="",C1993=T$4),NA(),MATCH($B1993&amp;$C1993,'Smelter Reference List'!$J:$J,0))</f>
        <v>442</v>
      </c>
      <c r="T1993" s="278"/>
      <c r="U1993" s="278"/>
      <c r="V1993" s="278"/>
      <c r="W1993" s="278"/>
    </row>
    <row r="1994" spans="1:23" s="269" customFormat="1" ht="20.25">
      <c r="A1994" s="267"/>
      <c r="B1994" s="275" t="s">
        <v>2437</v>
      </c>
      <c r="C1994" s="275" t="s">
        <v>3831</v>
      </c>
      <c r="D1994" s="168" t="s">
        <v>7752</v>
      </c>
      <c r="E1994" s="168" t="s">
        <v>1859</v>
      </c>
      <c r="F1994" s="168" t="s">
        <v>4623</v>
      </c>
      <c r="G1994" s="168" t="s">
        <v>4623</v>
      </c>
      <c r="H1994" s="292" t="s">
        <v>4623</v>
      </c>
      <c r="I1994" s="293" t="s">
        <v>4623</v>
      </c>
      <c r="J1994" s="293" t="s">
        <v>4623</v>
      </c>
      <c r="K1994" s="290" t="s">
        <v>4623</v>
      </c>
      <c r="L1994" s="290" t="s">
        <v>4623</v>
      </c>
      <c r="M1994" s="290" t="s">
        <v>4623</v>
      </c>
      <c r="N1994" s="290" t="s">
        <v>4623</v>
      </c>
      <c r="O1994" s="290" t="s">
        <v>4623</v>
      </c>
      <c r="P1994" s="290" t="s">
        <v>999</v>
      </c>
      <c r="Q1994" s="291" t="s">
        <v>4623</v>
      </c>
      <c r="R1994" s="276"/>
      <c r="S1994" s="277">
        <f>IF(OR(C1994="",C1994=T$4),NA(),MATCH($B1994&amp;$C1994,'Smelter Reference List'!$J:$J,0))</f>
        <v>442</v>
      </c>
      <c r="T1994" s="278"/>
      <c r="U1994" s="278"/>
      <c r="V1994" s="278"/>
      <c r="W1994" s="278"/>
    </row>
    <row r="1995" spans="1:23" s="269" customFormat="1" ht="20.25">
      <c r="A1995" s="267"/>
      <c r="B1995" s="275" t="s">
        <v>2437</v>
      </c>
      <c r="C1995" s="275" t="s">
        <v>3831</v>
      </c>
      <c r="D1995" s="168" t="s">
        <v>7753</v>
      </c>
      <c r="E1995" s="168" t="s">
        <v>1859</v>
      </c>
      <c r="F1995" s="168" t="s">
        <v>4623</v>
      </c>
      <c r="G1995" s="168" t="s">
        <v>4623</v>
      </c>
      <c r="H1995" s="292" t="s">
        <v>4623</v>
      </c>
      <c r="I1995" s="293" t="s">
        <v>4623</v>
      </c>
      <c r="J1995" s="293" t="s">
        <v>4623</v>
      </c>
      <c r="K1995" s="290" t="s">
        <v>4623</v>
      </c>
      <c r="L1995" s="290" t="s">
        <v>4623</v>
      </c>
      <c r="M1995" s="290" t="s">
        <v>4623</v>
      </c>
      <c r="N1995" s="290" t="s">
        <v>4623</v>
      </c>
      <c r="O1995" s="290" t="s">
        <v>4623</v>
      </c>
      <c r="P1995" s="290" t="s">
        <v>999</v>
      </c>
      <c r="Q1995" s="291" t="s">
        <v>4623</v>
      </c>
      <c r="R1995" s="276"/>
      <c r="S1995" s="277">
        <f>IF(OR(C1995="",C1995=T$4),NA(),MATCH($B1995&amp;$C1995,'Smelter Reference List'!$J:$J,0))</f>
        <v>442</v>
      </c>
      <c r="T1995" s="278"/>
      <c r="U1995" s="278"/>
      <c r="V1995" s="278"/>
      <c r="W1995" s="278"/>
    </row>
    <row r="1996" spans="1:23" s="269" customFormat="1" ht="20.25">
      <c r="A1996" s="267"/>
      <c r="B1996" s="275" t="s">
        <v>2437</v>
      </c>
      <c r="C1996" s="275" t="s">
        <v>3831</v>
      </c>
      <c r="D1996" s="168" t="s">
        <v>7754</v>
      </c>
      <c r="E1996" s="168" t="s">
        <v>2329</v>
      </c>
      <c r="F1996" s="168" t="s">
        <v>4623</v>
      </c>
      <c r="G1996" s="168" t="s">
        <v>4623</v>
      </c>
      <c r="H1996" s="292" t="s">
        <v>7755</v>
      </c>
      <c r="I1996" s="293" t="s">
        <v>7756</v>
      </c>
      <c r="J1996" s="293" t="s">
        <v>4623</v>
      </c>
      <c r="K1996" s="290" t="s">
        <v>4623</v>
      </c>
      <c r="L1996" s="290" t="s">
        <v>1005</v>
      </c>
      <c r="M1996" s="290" t="s">
        <v>4896</v>
      </c>
      <c r="N1996" s="290" t="s">
        <v>4628</v>
      </c>
      <c r="O1996" s="290" t="s">
        <v>4623</v>
      </c>
      <c r="P1996" s="290" t="s">
        <v>999</v>
      </c>
      <c r="Q1996" s="291" t="s">
        <v>4623</v>
      </c>
      <c r="R1996" s="276"/>
      <c r="S1996" s="277">
        <f>IF(OR(C1996="",C1996=T$4),NA(),MATCH($B1996&amp;$C1996,'Smelter Reference List'!$J:$J,0))</f>
        <v>442</v>
      </c>
      <c r="T1996" s="278"/>
      <c r="U1996" s="278"/>
      <c r="V1996" s="278"/>
      <c r="W1996" s="278"/>
    </row>
    <row r="1997" spans="1:23" s="269" customFormat="1" ht="20.25">
      <c r="A1997" s="267"/>
      <c r="B1997" s="275" t="s">
        <v>2437</v>
      </c>
      <c r="C1997" s="275" t="s">
        <v>3831</v>
      </c>
      <c r="D1997" s="168" t="s">
        <v>7757</v>
      </c>
      <c r="E1997" s="168" t="s">
        <v>2329</v>
      </c>
      <c r="F1997" s="168" t="s">
        <v>4623</v>
      </c>
      <c r="G1997" s="168" t="s">
        <v>4623</v>
      </c>
      <c r="H1997" s="292" t="s">
        <v>4623</v>
      </c>
      <c r="I1997" s="293" t="s">
        <v>4623</v>
      </c>
      <c r="J1997" s="293" t="s">
        <v>4623</v>
      </c>
      <c r="K1997" s="290" t="s">
        <v>7758</v>
      </c>
      <c r="L1997" s="290" t="s">
        <v>7759</v>
      </c>
      <c r="M1997" s="290" t="s">
        <v>4623</v>
      </c>
      <c r="N1997" s="290" t="s">
        <v>4623</v>
      </c>
      <c r="O1997" s="290" t="s">
        <v>4623</v>
      </c>
      <c r="P1997" s="290" t="s">
        <v>999</v>
      </c>
      <c r="Q1997" s="291" t="s">
        <v>4623</v>
      </c>
      <c r="R1997" s="276"/>
      <c r="S1997" s="277">
        <f>IF(OR(C1997="",C1997=T$4),NA(),MATCH($B1997&amp;$C1997,'Smelter Reference List'!$J:$J,0))</f>
        <v>442</v>
      </c>
      <c r="T1997" s="278"/>
      <c r="U1997" s="278"/>
      <c r="V1997" s="278"/>
      <c r="W1997" s="278"/>
    </row>
    <row r="1998" spans="1:23" s="269" customFormat="1" ht="20.25">
      <c r="A1998" s="267"/>
      <c r="B1998" s="275" t="s">
        <v>2437</v>
      </c>
      <c r="C1998" s="275" t="s">
        <v>3831</v>
      </c>
      <c r="D1998" s="168" t="s">
        <v>7650</v>
      </c>
      <c r="E1998" s="168" t="s">
        <v>2329</v>
      </c>
      <c r="F1998" s="168" t="s">
        <v>4623</v>
      </c>
      <c r="G1998" s="168" t="s">
        <v>4623</v>
      </c>
      <c r="H1998" s="292" t="s">
        <v>7760</v>
      </c>
      <c r="I1998" s="293" t="s">
        <v>7761</v>
      </c>
      <c r="J1998" s="293" t="s">
        <v>7762</v>
      </c>
      <c r="K1998" s="290" t="s">
        <v>7763</v>
      </c>
      <c r="L1998" s="290" t="s">
        <v>7764</v>
      </c>
      <c r="M1998" s="290" t="s">
        <v>4623</v>
      </c>
      <c r="N1998" s="290" t="s">
        <v>4623</v>
      </c>
      <c r="O1998" s="290" t="s">
        <v>4623</v>
      </c>
      <c r="P1998" s="290" t="s">
        <v>999</v>
      </c>
      <c r="Q1998" s="291" t="s">
        <v>4623</v>
      </c>
      <c r="R1998" s="276"/>
      <c r="S1998" s="277">
        <f>IF(OR(C1998="",C1998=T$4),NA(),MATCH($B1998&amp;$C1998,'Smelter Reference List'!$J:$J,0))</f>
        <v>442</v>
      </c>
      <c r="T1998" s="278"/>
      <c r="U1998" s="278"/>
      <c r="V1998" s="278"/>
      <c r="W1998" s="278"/>
    </row>
    <row r="1999" spans="1:23" s="269" customFormat="1" ht="20.25">
      <c r="A1999" s="267"/>
      <c r="B1999" s="275" t="s">
        <v>2437</v>
      </c>
      <c r="C1999" s="275" t="s">
        <v>3831</v>
      </c>
      <c r="D1999" s="168" t="s">
        <v>7765</v>
      </c>
      <c r="E1999" s="168" t="s">
        <v>2329</v>
      </c>
      <c r="F1999" s="168" t="s">
        <v>4623</v>
      </c>
      <c r="G1999" s="168" t="s">
        <v>4623</v>
      </c>
      <c r="H1999" s="292" t="s">
        <v>4623</v>
      </c>
      <c r="I1999" s="293" t="s">
        <v>4623</v>
      </c>
      <c r="J1999" s="293" t="s">
        <v>4623</v>
      </c>
      <c r="K1999" s="290" t="s">
        <v>4623</v>
      </c>
      <c r="L1999" s="290" t="s">
        <v>4623</v>
      </c>
      <c r="M1999" s="290" t="s">
        <v>4623</v>
      </c>
      <c r="N1999" s="290" t="s">
        <v>4623</v>
      </c>
      <c r="O1999" s="290" t="s">
        <v>4623</v>
      </c>
      <c r="P1999" s="290" t="s">
        <v>999</v>
      </c>
      <c r="Q1999" s="291" t="s">
        <v>7101</v>
      </c>
      <c r="R1999" s="276"/>
      <c r="S1999" s="277">
        <f>IF(OR(C1999="",C1999=T$4),NA(),MATCH($B1999&amp;$C1999,'Smelter Reference List'!$J:$J,0))</f>
        <v>442</v>
      </c>
      <c r="T1999" s="278"/>
      <c r="U1999" s="278"/>
      <c r="V1999" s="278"/>
      <c r="W1999" s="278"/>
    </row>
    <row r="2000" spans="1:23" s="269" customFormat="1" ht="20.25">
      <c r="A2000" s="267"/>
      <c r="B2000" s="275" t="s">
        <v>2437</v>
      </c>
      <c r="C2000" s="275" t="s">
        <v>3831</v>
      </c>
      <c r="D2000" s="168" t="s">
        <v>7766</v>
      </c>
      <c r="E2000" s="168" t="s">
        <v>2329</v>
      </c>
      <c r="F2000" s="168" t="s">
        <v>4623</v>
      </c>
      <c r="G2000" s="168" t="s">
        <v>4623</v>
      </c>
      <c r="H2000" s="292" t="s">
        <v>4623</v>
      </c>
      <c r="I2000" s="293" t="s">
        <v>4623</v>
      </c>
      <c r="J2000" s="293" t="s">
        <v>4623</v>
      </c>
      <c r="K2000" s="290" t="s">
        <v>4623</v>
      </c>
      <c r="L2000" s="290" t="s">
        <v>4623</v>
      </c>
      <c r="M2000" s="290" t="s">
        <v>4623</v>
      </c>
      <c r="N2000" s="290" t="s">
        <v>4623</v>
      </c>
      <c r="O2000" s="290" t="s">
        <v>4623</v>
      </c>
      <c r="P2000" s="290" t="s">
        <v>999</v>
      </c>
      <c r="Q2000" s="291" t="s">
        <v>4623</v>
      </c>
      <c r="R2000" s="276"/>
      <c r="S2000" s="277">
        <f>IF(OR(C2000="",C2000=T$4),NA(),MATCH($B2000&amp;$C2000,'Smelter Reference List'!$J:$J,0))</f>
        <v>442</v>
      </c>
      <c r="T2000" s="278"/>
      <c r="U2000" s="278"/>
      <c r="V2000" s="278"/>
      <c r="W2000" s="278"/>
    </row>
    <row r="2001" spans="1:23" s="269" customFormat="1" ht="20.25">
      <c r="A2001" s="267"/>
      <c r="B2001" s="275" t="s">
        <v>2437</v>
      </c>
      <c r="C2001" s="275" t="s">
        <v>3831</v>
      </c>
      <c r="D2001" s="168" t="s">
        <v>6644</v>
      </c>
      <c r="E2001" s="168" t="s">
        <v>2329</v>
      </c>
      <c r="F2001" s="168" t="s">
        <v>4623</v>
      </c>
      <c r="G2001" s="168" t="s">
        <v>4623</v>
      </c>
      <c r="H2001" s="292" t="s">
        <v>4623</v>
      </c>
      <c r="I2001" s="293" t="s">
        <v>4623</v>
      </c>
      <c r="J2001" s="293" t="s">
        <v>4623</v>
      </c>
      <c r="K2001" s="290" t="s">
        <v>4623</v>
      </c>
      <c r="L2001" s="290" t="s">
        <v>4623</v>
      </c>
      <c r="M2001" s="290" t="s">
        <v>4623</v>
      </c>
      <c r="N2001" s="290" t="s">
        <v>4623</v>
      </c>
      <c r="O2001" s="290" t="s">
        <v>4623</v>
      </c>
      <c r="P2001" s="290" t="s">
        <v>999</v>
      </c>
      <c r="Q2001" s="291" t="s">
        <v>4623</v>
      </c>
      <c r="R2001" s="276"/>
      <c r="S2001" s="277">
        <f>IF(OR(C2001="",C2001=T$4),NA(),MATCH($B2001&amp;$C2001,'Smelter Reference List'!$J:$J,0))</f>
        <v>442</v>
      </c>
      <c r="T2001" s="278"/>
      <c r="U2001" s="278"/>
      <c r="V2001" s="278"/>
      <c r="W2001" s="278"/>
    </row>
    <row r="2002" spans="1:23" s="269" customFormat="1" ht="20.25">
      <c r="A2002" s="267"/>
      <c r="B2002" s="275" t="s">
        <v>2437</v>
      </c>
      <c r="C2002" s="275" t="s">
        <v>3831</v>
      </c>
      <c r="D2002" s="168" t="s">
        <v>7767</v>
      </c>
      <c r="E2002" s="168" t="s">
        <v>2329</v>
      </c>
      <c r="F2002" s="168" t="s">
        <v>4623</v>
      </c>
      <c r="G2002" s="168" t="s">
        <v>4623</v>
      </c>
      <c r="H2002" s="292" t="s">
        <v>7768</v>
      </c>
      <c r="I2002" s="293" t="s">
        <v>7769</v>
      </c>
      <c r="J2002" s="293" t="s">
        <v>4623</v>
      </c>
      <c r="K2002" s="290" t="s">
        <v>7770</v>
      </c>
      <c r="L2002" s="290" t="s">
        <v>7771</v>
      </c>
      <c r="M2002" s="290" t="s">
        <v>4623</v>
      </c>
      <c r="N2002" s="290" t="s">
        <v>4623</v>
      </c>
      <c r="O2002" s="290" t="s">
        <v>4623</v>
      </c>
      <c r="P2002" s="290" t="s">
        <v>999</v>
      </c>
      <c r="Q2002" s="291" t="s">
        <v>4623</v>
      </c>
      <c r="R2002" s="276"/>
      <c r="S2002" s="277">
        <f>IF(OR(C2002="",C2002=T$4),NA(),MATCH($B2002&amp;$C2002,'Smelter Reference List'!$J:$J,0))</f>
        <v>442</v>
      </c>
      <c r="T2002" s="278"/>
      <c r="U2002" s="278"/>
      <c r="V2002" s="278"/>
      <c r="W2002" s="278"/>
    </row>
    <row r="2003" spans="1:23" s="269" customFormat="1" ht="20.25">
      <c r="A2003" s="267"/>
      <c r="B2003" s="275" t="s">
        <v>2437</v>
      </c>
      <c r="C2003" s="275" t="s">
        <v>3831</v>
      </c>
      <c r="D2003" s="168" t="s">
        <v>7772</v>
      </c>
      <c r="E2003" s="168" t="s">
        <v>2329</v>
      </c>
      <c r="F2003" s="168" t="s">
        <v>4623</v>
      </c>
      <c r="G2003" s="168" t="s">
        <v>4623</v>
      </c>
      <c r="H2003" s="292" t="s">
        <v>7773</v>
      </c>
      <c r="I2003" s="293" t="s">
        <v>7774</v>
      </c>
      <c r="J2003" s="293" t="s">
        <v>4623</v>
      </c>
      <c r="K2003" s="290" t="s">
        <v>7775</v>
      </c>
      <c r="L2003" s="290" t="s">
        <v>4623</v>
      </c>
      <c r="M2003" s="290" t="s">
        <v>4628</v>
      </c>
      <c r="N2003" s="290" t="s">
        <v>4623</v>
      </c>
      <c r="O2003" s="290" t="s">
        <v>4623</v>
      </c>
      <c r="P2003" s="290" t="s">
        <v>999</v>
      </c>
      <c r="Q2003" s="291" t="s">
        <v>4623</v>
      </c>
      <c r="R2003" s="276"/>
      <c r="S2003" s="277">
        <f>IF(OR(C2003="",C2003=T$4),NA(),MATCH($B2003&amp;$C2003,'Smelter Reference List'!$J:$J,0))</f>
        <v>442</v>
      </c>
      <c r="T2003" s="278"/>
      <c r="U2003" s="278"/>
      <c r="V2003" s="278"/>
      <c r="W2003" s="278"/>
    </row>
    <row r="2004" spans="1:23" s="269" customFormat="1" ht="20.25">
      <c r="A2004" s="267"/>
      <c r="B2004" s="275" t="s">
        <v>2437</v>
      </c>
      <c r="C2004" s="275" t="s">
        <v>3831</v>
      </c>
      <c r="D2004" s="168" t="s">
        <v>7776</v>
      </c>
      <c r="E2004" s="168" t="s">
        <v>2329</v>
      </c>
      <c r="F2004" s="168" t="s">
        <v>4623</v>
      </c>
      <c r="G2004" s="168" t="s">
        <v>4623</v>
      </c>
      <c r="H2004" s="292" t="s">
        <v>4623</v>
      </c>
      <c r="I2004" s="293" t="s">
        <v>4623</v>
      </c>
      <c r="J2004" s="293" t="s">
        <v>4623</v>
      </c>
      <c r="K2004" s="290" t="s">
        <v>4623</v>
      </c>
      <c r="L2004" s="290" t="s">
        <v>4623</v>
      </c>
      <c r="M2004" s="290" t="s">
        <v>4623</v>
      </c>
      <c r="N2004" s="290" t="s">
        <v>4623</v>
      </c>
      <c r="O2004" s="290" t="s">
        <v>4623</v>
      </c>
      <c r="P2004" s="290" t="s">
        <v>999</v>
      </c>
      <c r="Q2004" s="291" t="s">
        <v>4623</v>
      </c>
      <c r="R2004" s="276"/>
      <c r="S2004" s="277">
        <f>IF(OR(C2004="",C2004=T$4),NA(),MATCH($B2004&amp;$C2004,'Smelter Reference List'!$J:$J,0))</f>
        <v>442</v>
      </c>
      <c r="T2004" s="278"/>
      <c r="U2004" s="278"/>
      <c r="V2004" s="278"/>
      <c r="W2004" s="278"/>
    </row>
    <row r="2005" spans="1:23" s="269" customFormat="1" ht="20.25">
      <c r="A2005" s="267"/>
      <c r="B2005" s="275" t="s">
        <v>2437</v>
      </c>
      <c r="C2005" s="275" t="s">
        <v>3831</v>
      </c>
      <c r="D2005" s="168" t="s">
        <v>7777</v>
      </c>
      <c r="E2005" s="168" t="s">
        <v>2329</v>
      </c>
      <c r="F2005" s="168" t="s">
        <v>4623</v>
      </c>
      <c r="G2005" s="168" t="s">
        <v>4623</v>
      </c>
      <c r="H2005" s="292" t="s">
        <v>4623</v>
      </c>
      <c r="I2005" s="293" t="s">
        <v>4623</v>
      </c>
      <c r="J2005" s="293" t="s">
        <v>4623</v>
      </c>
      <c r="K2005" s="290" t="s">
        <v>4623</v>
      </c>
      <c r="L2005" s="290" t="s">
        <v>4623</v>
      </c>
      <c r="M2005" s="290" t="s">
        <v>4623</v>
      </c>
      <c r="N2005" s="290" t="s">
        <v>4623</v>
      </c>
      <c r="O2005" s="290" t="s">
        <v>4623</v>
      </c>
      <c r="P2005" s="290" t="s">
        <v>999</v>
      </c>
      <c r="Q2005" s="291" t="s">
        <v>4623</v>
      </c>
      <c r="R2005" s="276"/>
      <c r="S2005" s="277">
        <f>IF(OR(C2005="",C2005=T$4),NA(),MATCH($B2005&amp;$C2005,'Smelter Reference List'!$J:$J,0))</f>
        <v>442</v>
      </c>
      <c r="T2005" s="278"/>
      <c r="U2005" s="278"/>
      <c r="V2005" s="278"/>
      <c r="W2005" s="278"/>
    </row>
    <row r="2006" spans="1:23" s="269" customFormat="1" ht="20.25">
      <c r="A2006" s="267"/>
      <c r="B2006" s="275" t="s">
        <v>2437</v>
      </c>
      <c r="C2006" s="275" t="s">
        <v>3831</v>
      </c>
      <c r="D2006" s="168" t="s">
        <v>7778</v>
      </c>
      <c r="E2006" s="168" t="s">
        <v>2329</v>
      </c>
      <c r="F2006" s="168" t="s">
        <v>4623</v>
      </c>
      <c r="G2006" s="168" t="s">
        <v>4623</v>
      </c>
      <c r="H2006" s="292" t="s">
        <v>7779</v>
      </c>
      <c r="I2006" s="293" t="s">
        <v>7780</v>
      </c>
      <c r="J2006" s="293" t="s">
        <v>4623</v>
      </c>
      <c r="K2006" s="290" t="s">
        <v>7781</v>
      </c>
      <c r="L2006" s="290" t="s">
        <v>7782</v>
      </c>
      <c r="M2006" s="290" t="s">
        <v>4623</v>
      </c>
      <c r="N2006" s="290" t="s">
        <v>4623</v>
      </c>
      <c r="O2006" s="290" t="s">
        <v>4623</v>
      </c>
      <c r="P2006" s="290" t="s">
        <v>999</v>
      </c>
      <c r="Q2006" s="291" t="s">
        <v>4623</v>
      </c>
      <c r="R2006" s="276"/>
      <c r="S2006" s="277">
        <f>IF(OR(C2006="",C2006=T$4),NA(),MATCH($B2006&amp;$C2006,'Smelter Reference List'!$J:$J,0))</f>
        <v>442</v>
      </c>
      <c r="T2006" s="278"/>
      <c r="U2006" s="278"/>
      <c r="V2006" s="278"/>
      <c r="W2006" s="278"/>
    </row>
    <row r="2007" spans="1:23" s="269" customFormat="1" ht="20.25">
      <c r="A2007" s="267"/>
      <c r="B2007" s="275" t="s">
        <v>2437</v>
      </c>
      <c r="C2007" s="275" t="s">
        <v>3831</v>
      </c>
      <c r="D2007" s="168" t="s">
        <v>73</v>
      </c>
      <c r="E2007" s="168" t="s">
        <v>2329</v>
      </c>
      <c r="F2007" s="168" t="s">
        <v>4623</v>
      </c>
      <c r="G2007" s="168" t="s">
        <v>4623</v>
      </c>
      <c r="H2007" s="292" t="s">
        <v>7783</v>
      </c>
      <c r="I2007" s="293" t="s">
        <v>7784</v>
      </c>
      <c r="J2007" s="293" t="s">
        <v>7758</v>
      </c>
      <c r="K2007" s="290" t="s">
        <v>7785</v>
      </c>
      <c r="L2007" s="290" t="s">
        <v>4769</v>
      </c>
      <c r="M2007" s="290" t="s">
        <v>4769</v>
      </c>
      <c r="N2007" s="290" t="s">
        <v>4623</v>
      </c>
      <c r="O2007" s="290" t="s">
        <v>4623</v>
      </c>
      <c r="P2007" s="290" t="s">
        <v>999</v>
      </c>
      <c r="Q2007" s="291" t="s">
        <v>4623</v>
      </c>
      <c r="R2007" s="276"/>
      <c r="S2007" s="277">
        <f>IF(OR(C2007="",C2007=T$4),NA(),MATCH($B2007&amp;$C2007,'Smelter Reference List'!$J:$J,0))</f>
        <v>442</v>
      </c>
      <c r="T2007" s="278"/>
      <c r="U2007" s="278"/>
      <c r="V2007" s="278"/>
      <c r="W2007" s="278"/>
    </row>
    <row r="2008" spans="1:23" s="269" customFormat="1" ht="20.25">
      <c r="A2008" s="267"/>
      <c r="B2008" s="275" t="s">
        <v>2437</v>
      </c>
      <c r="C2008" s="275" t="s">
        <v>3831</v>
      </c>
      <c r="D2008" s="168" t="s">
        <v>7786</v>
      </c>
      <c r="E2008" s="168" t="s">
        <v>2329</v>
      </c>
      <c r="F2008" s="168" t="s">
        <v>4623</v>
      </c>
      <c r="G2008" s="168" t="s">
        <v>4623</v>
      </c>
      <c r="H2008" s="292" t="s">
        <v>4623</v>
      </c>
      <c r="I2008" s="293" t="s">
        <v>4623</v>
      </c>
      <c r="J2008" s="293" t="s">
        <v>4623</v>
      </c>
      <c r="K2008" s="290" t="s">
        <v>4623</v>
      </c>
      <c r="L2008" s="290" t="s">
        <v>4623</v>
      </c>
      <c r="M2008" s="290" t="s">
        <v>4623</v>
      </c>
      <c r="N2008" s="290" t="s">
        <v>4623</v>
      </c>
      <c r="O2008" s="290" t="s">
        <v>4623</v>
      </c>
      <c r="P2008" s="290" t="s">
        <v>999</v>
      </c>
      <c r="Q2008" s="291" t="s">
        <v>4623</v>
      </c>
      <c r="R2008" s="276"/>
      <c r="S2008" s="277">
        <f>IF(OR(C2008="",C2008=T$4),NA(),MATCH($B2008&amp;$C2008,'Smelter Reference List'!$J:$J,0))</f>
        <v>442</v>
      </c>
      <c r="T2008" s="278"/>
      <c r="U2008" s="278"/>
      <c r="V2008" s="278"/>
      <c r="W2008" s="278"/>
    </row>
    <row r="2009" spans="1:23" s="269" customFormat="1" ht="20.25">
      <c r="A2009" s="267"/>
      <c r="B2009" s="275" t="s">
        <v>2437</v>
      </c>
      <c r="C2009" s="275" t="s">
        <v>3831</v>
      </c>
      <c r="D2009" s="168" t="s">
        <v>7787</v>
      </c>
      <c r="E2009" s="168" t="s">
        <v>2329</v>
      </c>
      <c r="F2009" s="168" t="s">
        <v>4623</v>
      </c>
      <c r="G2009" s="168" t="s">
        <v>4623</v>
      </c>
      <c r="H2009" s="292" t="s">
        <v>4623</v>
      </c>
      <c r="I2009" s="293" t="s">
        <v>4623</v>
      </c>
      <c r="J2009" s="293" t="s">
        <v>4623</v>
      </c>
      <c r="K2009" s="290" t="s">
        <v>4623</v>
      </c>
      <c r="L2009" s="290" t="s">
        <v>4623</v>
      </c>
      <c r="M2009" s="290" t="s">
        <v>4623</v>
      </c>
      <c r="N2009" s="290" t="s">
        <v>4623</v>
      </c>
      <c r="O2009" s="290" t="s">
        <v>4623</v>
      </c>
      <c r="P2009" s="290" t="s">
        <v>999</v>
      </c>
      <c r="Q2009" s="291" t="s">
        <v>4623</v>
      </c>
      <c r="R2009" s="276"/>
      <c r="S2009" s="277">
        <f>IF(OR(C2009="",C2009=T$4),NA(),MATCH($B2009&amp;$C2009,'Smelter Reference List'!$J:$J,0))</f>
        <v>442</v>
      </c>
      <c r="T2009" s="278"/>
      <c r="U2009" s="278"/>
      <c r="V2009" s="278"/>
      <c r="W2009" s="278"/>
    </row>
    <row r="2010" spans="1:23" s="269" customFormat="1" ht="20.25">
      <c r="A2010" s="267"/>
      <c r="B2010" s="275" t="s">
        <v>2437</v>
      </c>
      <c r="C2010" s="275" t="s">
        <v>3831</v>
      </c>
      <c r="D2010" s="168" t="s">
        <v>5902</v>
      </c>
      <c r="E2010" s="168" t="s">
        <v>2329</v>
      </c>
      <c r="F2010" s="168" t="s">
        <v>4623</v>
      </c>
      <c r="G2010" s="168" t="s">
        <v>4623</v>
      </c>
      <c r="H2010" s="292" t="s">
        <v>4623</v>
      </c>
      <c r="I2010" s="293" t="s">
        <v>4623</v>
      </c>
      <c r="J2010" s="293" t="s">
        <v>4623</v>
      </c>
      <c r="K2010" s="290" t="s">
        <v>7788</v>
      </c>
      <c r="L2010" s="290" t="s">
        <v>4623</v>
      </c>
      <c r="M2010" s="290" t="s">
        <v>7789</v>
      </c>
      <c r="N2010" s="290" t="s">
        <v>4623</v>
      </c>
      <c r="O2010" s="290" t="s">
        <v>4623</v>
      </c>
      <c r="P2010" s="290" t="s">
        <v>999</v>
      </c>
      <c r="Q2010" s="291" t="s">
        <v>4623</v>
      </c>
      <c r="R2010" s="276"/>
      <c r="S2010" s="277">
        <f>IF(OR(C2010="",C2010=T$4),NA(),MATCH($B2010&amp;$C2010,'Smelter Reference List'!$J:$J,0))</f>
        <v>442</v>
      </c>
      <c r="T2010" s="278"/>
      <c r="U2010" s="278"/>
      <c r="V2010" s="278"/>
      <c r="W2010" s="278"/>
    </row>
    <row r="2011" spans="1:23" s="269" customFormat="1" ht="20.25">
      <c r="A2011" s="267"/>
      <c r="B2011" s="275" t="s">
        <v>2437</v>
      </c>
      <c r="C2011" s="275" t="s">
        <v>3831</v>
      </c>
      <c r="D2011" s="168" t="s">
        <v>7790</v>
      </c>
      <c r="E2011" s="168" t="s">
        <v>2329</v>
      </c>
      <c r="F2011" s="168" t="s">
        <v>4623</v>
      </c>
      <c r="G2011" s="168" t="s">
        <v>4623</v>
      </c>
      <c r="H2011" s="292" t="s">
        <v>4623</v>
      </c>
      <c r="I2011" s="293" t="s">
        <v>4623</v>
      </c>
      <c r="J2011" s="293" t="s">
        <v>4623</v>
      </c>
      <c r="K2011" s="290" t="s">
        <v>4623</v>
      </c>
      <c r="L2011" s="290" t="s">
        <v>4623</v>
      </c>
      <c r="M2011" s="290" t="s">
        <v>4623</v>
      </c>
      <c r="N2011" s="290" t="s">
        <v>4623</v>
      </c>
      <c r="O2011" s="290" t="s">
        <v>4623</v>
      </c>
      <c r="P2011" s="290" t="s">
        <v>999</v>
      </c>
      <c r="Q2011" s="291" t="s">
        <v>4623</v>
      </c>
      <c r="R2011" s="276"/>
      <c r="S2011" s="277">
        <f>IF(OR(C2011="",C2011=T$4),NA(),MATCH($B2011&amp;$C2011,'Smelter Reference List'!$J:$J,0))</f>
        <v>442</v>
      </c>
      <c r="T2011" s="278"/>
      <c r="U2011" s="278"/>
      <c r="V2011" s="278"/>
      <c r="W2011" s="278"/>
    </row>
    <row r="2012" spans="1:23" s="269" customFormat="1" ht="20.25">
      <c r="A2012" s="267"/>
      <c r="B2012" s="275" t="s">
        <v>2437</v>
      </c>
      <c r="C2012" s="275" t="s">
        <v>3831</v>
      </c>
      <c r="D2012" s="168" t="s">
        <v>7791</v>
      </c>
      <c r="E2012" s="168" t="s">
        <v>2329</v>
      </c>
      <c r="F2012" s="168" t="s">
        <v>4623</v>
      </c>
      <c r="G2012" s="168" t="s">
        <v>4623</v>
      </c>
      <c r="H2012" s="292" t="s">
        <v>4623</v>
      </c>
      <c r="I2012" s="293" t="s">
        <v>4623</v>
      </c>
      <c r="J2012" s="293" t="s">
        <v>4623</v>
      </c>
      <c r="K2012" s="290" t="s">
        <v>4623</v>
      </c>
      <c r="L2012" s="290" t="s">
        <v>4623</v>
      </c>
      <c r="M2012" s="290" t="s">
        <v>4623</v>
      </c>
      <c r="N2012" s="290" t="s">
        <v>4623</v>
      </c>
      <c r="O2012" s="290" t="s">
        <v>4623</v>
      </c>
      <c r="P2012" s="290" t="s">
        <v>999</v>
      </c>
      <c r="Q2012" s="291" t="s">
        <v>4623</v>
      </c>
      <c r="R2012" s="276"/>
      <c r="S2012" s="277">
        <f>IF(OR(C2012="",C2012=T$4),NA(),MATCH($B2012&amp;$C2012,'Smelter Reference List'!$J:$J,0))</f>
        <v>442</v>
      </c>
      <c r="T2012" s="278"/>
      <c r="U2012" s="278"/>
      <c r="V2012" s="278"/>
      <c r="W2012" s="278"/>
    </row>
    <row r="2013" spans="1:23" s="269" customFormat="1" ht="20.25">
      <c r="A2013" s="267"/>
      <c r="B2013" s="275" t="s">
        <v>2437</v>
      </c>
      <c r="C2013" s="275" t="s">
        <v>3831</v>
      </c>
      <c r="D2013" s="168" t="s">
        <v>7792</v>
      </c>
      <c r="E2013" s="168" t="s">
        <v>1867</v>
      </c>
      <c r="F2013" s="168" t="s">
        <v>4623</v>
      </c>
      <c r="G2013" s="168" t="s">
        <v>4623</v>
      </c>
      <c r="H2013" s="292" t="s">
        <v>7793</v>
      </c>
      <c r="I2013" s="293" t="s">
        <v>7794</v>
      </c>
      <c r="J2013" s="293" t="s">
        <v>7795</v>
      </c>
      <c r="K2013" s="290" t="s">
        <v>7796</v>
      </c>
      <c r="L2013" s="290" t="s">
        <v>7797</v>
      </c>
      <c r="M2013" s="290" t="s">
        <v>4623</v>
      </c>
      <c r="N2013" s="290" t="s">
        <v>4623</v>
      </c>
      <c r="O2013" s="290" t="s">
        <v>4623</v>
      </c>
      <c r="P2013" s="290" t="s">
        <v>999</v>
      </c>
      <c r="Q2013" s="291" t="s">
        <v>4623</v>
      </c>
      <c r="R2013" s="276"/>
      <c r="S2013" s="277">
        <f>IF(OR(C2013="",C2013=T$4),NA(),MATCH($B2013&amp;$C2013,'Smelter Reference List'!$J:$J,0))</f>
        <v>442</v>
      </c>
      <c r="T2013" s="278"/>
      <c r="U2013" s="278"/>
      <c r="V2013" s="278"/>
      <c r="W2013" s="278"/>
    </row>
    <row r="2014" spans="1:23" s="269" customFormat="1" ht="20.25">
      <c r="A2014" s="267"/>
      <c r="B2014" s="275" t="s">
        <v>2437</v>
      </c>
      <c r="C2014" s="275" t="s">
        <v>3831</v>
      </c>
      <c r="D2014" s="168" t="s">
        <v>7798</v>
      </c>
      <c r="E2014" s="168" t="s">
        <v>1867</v>
      </c>
      <c r="F2014" s="168" t="s">
        <v>4623</v>
      </c>
      <c r="G2014" s="168" t="s">
        <v>4623</v>
      </c>
      <c r="H2014" s="292" t="s">
        <v>4623</v>
      </c>
      <c r="I2014" s="293" t="s">
        <v>4623</v>
      </c>
      <c r="J2014" s="293" t="s">
        <v>4623</v>
      </c>
      <c r="K2014" s="290" t="s">
        <v>4623</v>
      </c>
      <c r="L2014" s="290" t="s">
        <v>4623</v>
      </c>
      <c r="M2014" s="290" t="s">
        <v>4623</v>
      </c>
      <c r="N2014" s="290" t="s">
        <v>4623</v>
      </c>
      <c r="O2014" s="290" t="s">
        <v>4623</v>
      </c>
      <c r="P2014" s="290" t="s">
        <v>999</v>
      </c>
      <c r="Q2014" s="291" t="s">
        <v>4623</v>
      </c>
      <c r="R2014" s="276"/>
      <c r="S2014" s="277">
        <f>IF(OR(C2014="",C2014=T$4),NA(),MATCH($B2014&amp;$C2014,'Smelter Reference List'!$J:$J,0))</f>
        <v>442</v>
      </c>
      <c r="T2014" s="278"/>
      <c r="U2014" s="278"/>
      <c r="V2014" s="278"/>
      <c r="W2014" s="278"/>
    </row>
    <row r="2015" spans="1:23" s="269" customFormat="1" ht="20.25">
      <c r="A2015" s="267"/>
      <c r="B2015" s="275" t="s">
        <v>2437</v>
      </c>
      <c r="C2015" s="275" t="s">
        <v>3831</v>
      </c>
      <c r="D2015" s="168" t="s">
        <v>7799</v>
      </c>
      <c r="E2015" s="168" t="s">
        <v>1867</v>
      </c>
      <c r="F2015" s="168" t="s">
        <v>4623</v>
      </c>
      <c r="G2015" s="168" t="s">
        <v>4623</v>
      </c>
      <c r="H2015" s="292" t="s">
        <v>4623</v>
      </c>
      <c r="I2015" s="293" t="s">
        <v>4623</v>
      </c>
      <c r="J2015" s="293" t="s">
        <v>4623</v>
      </c>
      <c r="K2015" s="290" t="s">
        <v>4623</v>
      </c>
      <c r="L2015" s="290" t="s">
        <v>4623</v>
      </c>
      <c r="M2015" s="290" t="s">
        <v>4623</v>
      </c>
      <c r="N2015" s="290" t="s">
        <v>4623</v>
      </c>
      <c r="O2015" s="290" t="s">
        <v>4623</v>
      </c>
      <c r="P2015" s="290" t="s">
        <v>999</v>
      </c>
      <c r="Q2015" s="291" t="s">
        <v>4623</v>
      </c>
      <c r="R2015" s="276"/>
      <c r="S2015" s="277">
        <f>IF(OR(C2015="",C2015=T$4),NA(),MATCH($B2015&amp;$C2015,'Smelter Reference List'!$J:$J,0))</f>
        <v>442</v>
      </c>
      <c r="T2015" s="278"/>
      <c r="U2015" s="278"/>
      <c r="V2015" s="278"/>
      <c r="W2015" s="278"/>
    </row>
    <row r="2016" spans="1:23" s="269" customFormat="1" ht="20.25">
      <c r="A2016" s="267"/>
      <c r="B2016" s="275" t="s">
        <v>2437</v>
      </c>
      <c r="C2016" s="275" t="s">
        <v>3831</v>
      </c>
      <c r="D2016" s="168" t="s">
        <v>7800</v>
      </c>
      <c r="E2016" s="168" t="s">
        <v>1867</v>
      </c>
      <c r="F2016" s="168" t="s">
        <v>4623</v>
      </c>
      <c r="G2016" s="168" t="s">
        <v>4623</v>
      </c>
      <c r="H2016" s="292" t="s">
        <v>4623</v>
      </c>
      <c r="I2016" s="293" t="s">
        <v>4623</v>
      </c>
      <c r="J2016" s="293" t="s">
        <v>4623</v>
      </c>
      <c r="K2016" s="290" t="s">
        <v>4623</v>
      </c>
      <c r="L2016" s="290" t="s">
        <v>4623</v>
      </c>
      <c r="M2016" s="290" t="s">
        <v>4623</v>
      </c>
      <c r="N2016" s="290" t="s">
        <v>4667</v>
      </c>
      <c r="O2016" s="290" t="s">
        <v>4623</v>
      </c>
      <c r="P2016" s="290" t="s">
        <v>999</v>
      </c>
      <c r="Q2016" s="291" t="s">
        <v>4623</v>
      </c>
      <c r="R2016" s="276"/>
      <c r="S2016" s="277">
        <f>IF(OR(C2016="",C2016=T$4),NA(),MATCH($B2016&amp;$C2016,'Smelter Reference List'!$J:$J,0))</f>
        <v>442</v>
      </c>
      <c r="T2016" s="278"/>
      <c r="U2016" s="278"/>
      <c r="V2016" s="278"/>
      <c r="W2016" s="278"/>
    </row>
    <row r="2017" spans="1:23" s="269" customFormat="1" ht="20.25">
      <c r="A2017" s="267"/>
      <c r="B2017" s="275" t="s">
        <v>2437</v>
      </c>
      <c r="C2017" s="275" t="s">
        <v>3831</v>
      </c>
      <c r="D2017" s="168" t="s">
        <v>7801</v>
      </c>
      <c r="E2017" s="168" t="s">
        <v>1867</v>
      </c>
      <c r="F2017" s="168" t="s">
        <v>4623</v>
      </c>
      <c r="G2017" s="168" t="s">
        <v>4623</v>
      </c>
      <c r="H2017" s="292" t="s">
        <v>4623</v>
      </c>
      <c r="I2017" s="293" t="s">
        <v>4623</v>
      </c>
      <c r="J2017" s="293" t="s">
        <v>4623</v>
      </c>
      <c r="K2017" s="290" t="s">
        <v>4623</v>
      </c>
      <c r="L2017" s="290" t="s">
        <v>4623</v>
      </c>
      <c r="M2017" s="290" t="s">
        <v>4623</v>
      </c>
      <c r="N2017" s="290" t="s">
        <v>4623</v>
      </c>
      <c r="O2017" s="290" t="s">
        <v>4623</v>
      </c>
      <c r="P2017" s="290" t="s">
        <v>999</v>
      </c>
      <c r="Q2017" s="291" t="s">
        <v>4623</v>
      </c>
      <c r="R2017" s="276"/>
      <c r="S2017" s="277">
        <f>IF(OR(C2017="",C2017=T$4),NA(),MATCH($B2017&amp;$C2017,'Smelter Reference List'!$J:$J,0))</f>
        <v>442</v>
      </c>
      <c r="T2017" s="278"/>
      <c r="U2017" s="278"/>
      <c r="V2017" s="278"/>
      <c r="W2017" s="278"/>
    </row>
    <row r="2018" spans="1:23" s="269" customFormat="1" ht="20.25">
      <c r="A2018" s="267"/>
      <c r="B2018" s="275" t="s">
        <v>2437</v>
      </c>
      <c r="C2018" s="275" t="s">
        <v>3831</v>
      </c>
      <c r="D2018" s="168" t="s">
        <v>7802</v>
      </c>
      <c r="E2018" s="168" t="s">
        <v>1867</v>
      </c>
      <c r="F2018" s="168" t="s">
        <v>4623</v>
      </c>
      <c r="G2018" s="168" t="s">
        <v>4623</v>
      </c>
      <c r="H2018" s="292" t="s">
        <v>4623</v>
      </c>
      <c r="I2018" s="293" t="s">
        <v>4623</v>
      </c>
      <c r="J2018" s="293" t="s">
        <v>4623</v>
      </c>
      <c r="K2018" s="290" t="s">
        <v>4623</v>
      </c>
      <c r="L2018" s="290" t="s">
        <v>4623</v>
      </c>
      <c r="M2018" s="290" t="s">
        <v>6377</v>
      </c>
      <c r="N2018" s="290" t="s">
        <v>5000</v>
      </c>
      <c r="O2018" s="290" t="s">
        <v>5000</v>
      </c>
      <c r="P2018" s="290" t="s">
        <v>999</v>
      </c>
      <c r="Q2018" s="291" t="s">
        <v>4623</v>
      </c>
      <c r="R2018" s="276"/>
      <c r="S2018" s="277">
        <f>IF(OR(C2018="",C2018=T$4),NA(),MATCH($B2018&amp;$C2018,'Smelter Reference List'!$J:$J,0))</f>
        <v>442</v>
      </c>
      <c r="T2018" s="278"/>
      <c r="U2018" s="278"/>
      <c r="V2018" s="278"/>
      <c r="W2018" s="278"/>
    </row>
    <row r="2019" spans="1:23" s="269" customFormat="1" ht="20.25">
      <c r="A2019" s="267"/>
      <c r="B2019" s="275" t="s">
        <v>2437</v>
      </c>
      <c r="C2019" s="275" t="s">
        <v>3831</v>
      </c>
      <c r="D2019" s="168" t="s">
        <v>7803</v>
      </c>
      <c r="E2019" s="168" t="s">
        <v>1867</v>
      </c>
      <c r="F2019" s="168" t="s">
        <v>4623</v>
      </c>
      <c r="G2019" s="168" t="s">
        <v>4623</v>
      </c>
      <c r="H2019" s="292" t="s">
        <v>4623</v>
      </c>
      <c r="I2019" s="293" t="s">
        <v>4623</v>
      </c>
      <c r="J2019" s="293" t="s">
        <v>4623</v>
      </c>
      <c r="K2019" s="290" t="s">
        <v>4623</v>
      </c>
      <c r="L2019" s="290" t="s">
        <v>4623</v>
      </c>
      <c r="M2019" s="290" t="s">
        <v>4623</v>
      </c>
      <c r="N2019" s="290" t="s">
        <v>4623</v>
      </c>
      <c r="O2019" s="290" t="s">
        <v>4623</v>
      </c>
      <c r="P2019" s="290" t="s">
        <v>999</v>
      </c>
      <c r="Q2019" s="291" t="s">
        <v>4623</v>
      </c>
      <c r="R2019" s="276"/>
      <c r="S2019" s="277">
        <f>IF(OR(C2019="",C2019=T$4),NA(),MATCH($B2019&amp;$C2019,'Smelter Reference List'!$J:$J,0))</f>
        <v>442</v>
      </c>
      <c r="T2019" s="278"/>
      <c r="U2019" s="278"/>
      <c r="V2019" s="278"/>
      <c r="W2019" s="278"/>
    </row>
    <row r="2020" spans="1:23" s="269" customFormat="1" ht="20.25">
      <c r="A2020" s="267"/>
      <c r="B2020" s="275" t="s">
        <v>2437</v>
      </c>
      <c r="C2020" s="275" t="s">
        <v>3831</v>
      </c>
      <c r="D2020" s="168" t="s">
        <v>7804</v>
      </c>
      <c r="E2020" s="168" t="s">
        <v>1867</v>
      </c>
      <c r="F2020" s="168" t="s">
        <v>4623</v>
      </c>
      <c r="G2020" s="168" t="s">
        <v>4623</v>
      </c>
      <c r="H2020" s="292" t="s">
        <v>4623</v>
      </c>
      <c r="I2020" s="293" t="s">
        <v>4623</v>
      </c>
      <c r="J2020" s="293" t="s">
        <v>4623</v>
      </c>
      <c r="K2020" s="290" t="s">
        <v>4623</v>
      </c>
      <c r="L2020" s="290" t="s">
        <v>4623</v>
      </c>
      <c r="M2020" s="290" t="s">
        <v>4623</v>
      </c>
      <c r="N2020" s="290" t="s">
        <v>4623</v>
      </c>
      <c r="O2020" s="290" t="s">
        <v>4623</v>
      </c>
      <c r="P2020" s="290" t="s">
        <v>999</v>
      </c>
      <c r="Q2020" s="291" t="s">
        <v>4623</v>
      </c>
      <c r="R2020" s="276"/>
      <c r="S2020" s="277">
        <f>IF(OR(C2020="",C2020=T$4),NA(),MATCH($B2020&amp;$C2020,'Smelter Reference List'!$J:$J,0))</f>
        <v>442</v>
      </c>
      <c r="T2020" s="278"/>
      <c r="U2020" s="278"/>
      <c r="V2020" s="278"/>
      <c r="W2020" s="278"/>
    </row>
    <row r="2021" spans="1:23" s="269" customFormat="1" ht="20.25">
      <c r="A2021" s="267"/>
      <c r="B2021" s="275" t="s">
        <v>2437</v>
      </c>
      <c r="C2021" s="275" t="s">
        <v>3831</v>
      </c>
      <c r="D2021" s="168" t="s">
        <v>7805</v>
      </c>
      <c r="E2021" s="168" t="s">
        <v>1867</v>
      </c>
      <c r="F2021" s="168" t="s">
        <v>4623</v>
      </c>
      <c r="G2021" s="168" t="s">
        <v>4623</v>
      </c>
      <c r="H2021" s="292" t="s">
        <v>4623</v>
      </c>
      <c r="I2021" s="293" t="s">
        <v>4623</v>
      </c>
      <c r="J2021" s="293" t="s">
        <v>4623</v>
      </c>
      <c r="K2021" s="290" t="s">
        <v>4623</v>
      </c>
      <c r="L2021" s="290" t="s">
        <v>4623</v>
      </c>
      <c r="M2021" s="290" t="s">
        <v>4623</v>
      </c>
      <c r="N2021" s="290" t="s">
        <v>4623</v>
      </c>
      <c r="O2021" s="290" t="s">
        <v>4623</v>
      </c>
      <c r="P2021" s="290" t="s">
        <v>999</v>
      </c>
      <c r="Q2021" s="291" t="s">
        <v>4623</v>
      </c>
      <c r="R2021" s="276"/>
      <c r="S2021" s="277">
        <f>IF(OR(C2021="",C2021=T$4),NA(),MATCH($B2021&amp;$C2021,'Smelter Reference List'!$J:$J,0))</f>
        <v>442</v>
      </c>
      <c r="T2021" s="278"/>
      <c r="U2021" s="278"/>
      <c r="V2021" s="278"/>
      <c r="W2021" s="278"/>
    </row>
    <row r="2022" spans="1:23" s="269" customFormat="1" ht="20.25">
      <c r="A2022" s="267"/>
      <c r="B2022" s="275" t="s">
        <v>2437</v>
      </c>
      <c r="C2022" s="275" t="s">
        <v>3831</v>
      </c>
      <c r="D2022" s="168" t="s">
        <v>6484</v>
      </c>
      <c r="E2022" s="168" t="s">
        <v>1867</v>
      </c>
      <c r="F2022" s="168" t="s">
        <v>4623</v>
      </c>
      <c r="G2022" s="168" t="s">
        <v>4623</v>
      </c>
      <c r="H2022" s="292" t="s">
        <v>4623</v>
      </c>
      <c r="I2022" s="293" t="s">
        <v>4623</v>
      </c>
      <c r="J2022" s="293" t="s">
        <v>4623</v>
      </c>
      <c r="K2022" s="290" t="s">
        <v>4623</v>
      </c>
      <c r="L2022" s="290" t="s">
        <v>4623</v>
      </c>
      <c r="M2022" s="290" t="s">
        <v>4623</v>
      </c>
      <c r="N2022" s="290" t="s">
        <v>4623</v>
      </c>
      <c r="O2022" s="290" t="s">
        <v>4623</v>
      </c>
      <c r="P2022" s="290" t="s">
        <v>999</v>
      </c>
      <c r="Q2022" s="291" t="s">
        <v>4623</v>
      </c>
      <c r="R2022" s="276"/>
      <c r="S2022" s="277">
        <f>IF(OR(C2022="",C2022=T$4),NA(),MATCH($B2022&amp;$C2022,'Smelter Reference List'!$J:$J,0))</f>
        <v>442</v>
      </c>
      <c r="T2022" s="278"/>
      <c r="U2022" s="278"/>
      <c r="V2022" s="278"/>
      <c r="W2022" s="278"/>
    </row>
    <row r="2023" spans="1:23" s="269" customFormat="1" ht="20.25">
      <c r="A2023" s="267"/>
      <c r="B2023" s="275" t="s">
        <v>2437</v>
      </c>
      <c r="C2023" s="275" t="s">
        <v>3831</v>
      </c>
      <c r="D2023" s="168" t="s">
        <v>7806</v>
      </c>
      <c r="E2023" s="168" t="s">
        <v>1867</v>
      </c>
      <c r="F2023" s="168" t="s">
        <v>4623</v>
      </c>
      <c r="G2023" s="168" t="s">
        <v>4623</v>
      </c>
      <c r="H2023" s="292" t="s">
        <v>4623</v>
      </c>
      <c r="I2023" s="293" t="s">
        <v>4623</v>
      </c>
      <c r="J2023" s="293" t="s">
        <v>4623</v>
      </c>
      <c r="K2023" s="290" t="s">
        <v>4623</v>
      </c>
      <c r="L2023" s="290" t="s">
        <v>4623</v>
      </c>
      <c r="M2023" s="290" t="s">
        <v>4623</v>
      </c>
      <c r="N2023" s="290" t="s">
        <v>4623</v>
      </c>
      <c r="O2023" s="290" t="s">
        <v>4623</v>
      </c>
      <c r="P2023" s="290" t="s">
        <v>999</v>
      </c>
      <c r="Q2023" s="291" t="s">
        <v>4623</v>
      </c>
      <c r="R2023" s="276"/>
      <c r="S2023" s="277">
        <f>IF(OR(C2023="",C2023=T$4),NA(),MATCH($B2023&amp;$C2023,'Smelter Reference List'!$J:$J,0))</f>
        <v>442</v>
      </c>
      <c r="T2023" s="278"/>
      <c r="U2023" s="278"/>
      <c r="V2023" s="278"/>
      <c r="W2023" s="278"/>
    </row>
    <row r="2024" spans="1:23" s="269" customFormat="1" ht="20.25">
      <c r="A2024" s="267"/>
      <c r="B2024" s="275" t="s">
        <v>2437</v>
      </c>
      <c r="C2024" s="275" t="s">
        <v>3831</v>
      </c>
      <c r="D2024" s="168" t="s">
        <v>7807</v>
      </c>
      <c r="E2024" s="168" t="s">
        <v>1867</v>
      </c>
      <c r="F2024" s="168" t="s">
        <v>4623</v>
      </c>
      <c r="G2024" s="168" t="s">
        <v>4623</v>
      </c>
      <c r="H2024" s="292" t="s">
        <v>4623</v>
      </c>
      <c r="I2024" s="293" t="s">
        <v>4623</v>
      </c>
      <c r="J2024" s="293" t="s">
        <v>4623</v>
      </c>
      <c r="K2024" s="290" t="s">
        <v>4623</v>
      </c>
      <c r="L2024" s="290" t="s">
        <v>4623</v>
      </c>
      <c r="M2024" s="290" t="s">
        <v>4623</v>
      </c>
      <c r="N2024" s="290" t="s">
        <v>4623</v>
      </c>
      <c r="O2024" s="290" t="s">
        <v>4623</v>
      </c>
      <c r="P2024" s="290" t="s">
        <v>999</v>
      </c>
      <c r="Q2024" s="291" t="s">
        <v>4623</v>
      </c>
      <c r="R2024" s="276"/>
      <c r="S2024" s="277">
        <f>IF(OR(C2024="",C2024=T$4),NA(),MATCH($B2024&amp;$C2024,'Smelter Reference List'!$J:$J,0))</f>
        <v>442</v>
      </c>
      <c r="T2024" s="278"/>
      <c r="U2024" s="278"/>
      <c r="V2024" s="278"/>
      <c r="W2024" s="278"/>
    </row>
    <row r="2025" spans="1:23" s="269" customFormat="1" ht="20.25">
      <c r="A2025" s="267"/>
      <c r="B2025" s="275" t="s">
        <v>2437</v>
      </c>
      <c r="C2025" s="275" t="s">
        <v>3831</v>
      </c>
      <c r="D2025" s="168" t="s">
        <v>7808</v>
      </c>
      <c r="E2025" s="168" t="s">
        <v>1867</v>
      </c>
      <c r="F2025" s="168" t="s">
        <v>4623</v>
      </c>
      <c r="G2025" s="168" t="s">
        <v>4623</v>
      </c>
      <c r="H2025" s="292" t="s">
        <v>7809</v>
      </c>
      <c r="I2025" s="293" t="s">
        <v>7810</v>
      </c>
      <c r="J2025" s="293" t="s">
        <v>5960</v>
      </c>
      <c r="K2025" s="290" t="s">
        <v>7811</v>
      </c>
      <c r="L2025" s="290" t="s">
        <v>4623</v>
      </c>
      <c r="M2025" s="290" t="s">
        <v>4623</v>
      </c>
      <c r="N2025" s="290" t="s">
        <v>4623</v>
      </c>
      <c r="O2025" s="290" t="s">
        <v>4623</v>
      </c>
      <c r="P2025" s="290" t="s">
        <v>999</v>
      </c>
      <c r="Q2025" s="291" t="s">
        <v>4623</v>
      </c>
      <c r="R2025" s="276"/>
      <c r="S2025" s="277">
        <f>IF(OR(C2025="",C2025=T$4),NA(),MATCH($B2025&amp;$C2025,'Smelter Reference List'!$J:$J,0))</f>
        <v>442</v>
      </c>
      <c r="T2025" s="278"/>
      <c r="U2025" s="278"/>
      <c r="V2025" s="278"/>
      <c r="W2025" s="278"/>
    </row>
    <row r="2026" spans="1:23" s="269" customFormat="1" ht="20.25">
      <c r="A2026" s="267"/>
      <c r="B2026" s="275" t="s">
        <v>2437</v>
      </c>
      <c r="C2026" s="275" t="s">
        <v>3831</v>
      </c>
      <c r="D2026" s="168" t="s">
        <v>7812</v>
      </c>
      <c r="E2026" s="168" t="s">
        <v>1867</v>
      </c>
      <c r="F2026" s="168" t="s">
        <v>4623</v>
      </c>
      <c r="G2026" s="168" t="s">
        <v>4623</v>
      </c>
      <c r="H2026" s="292" t="s">
        <v>4623</v>
      </c>
      <c r="I2026" s="293" t="s">
        <v>4623</v>
      </c>
      <c r="J2026" s="293" t="s">
        <v>4623</v>
      </c>
      <c r="K2026" s="290" t="s">
        <v>4623</v>
      </c>
      <c r="L2026" s="290" t="s">
        <v>4623</v>
      </c>
      <c r="M2026" s="290" t="s">
        <v>4623</v>
      </c>
      <c r="N2026" s="290" t="s">
        <v>4623</v>
      </c>
      <c r="O2026" s="290" t="s">
        <v>4623</v>
      </c>
      <c r="P2026" s="290" t="s">
        <v>999</v>
      </c>
      <c r="Q2026" s="291" t="s">
        <v>4623</v>
      </c>
      <c r="R2026" s="276"/>
      <c r="S2026" s="277">
        <f>IF(OR(C2026="",C2026=T$4),NA(),MATCH($B2026&amp;$C2026,'Smelter Reference List'!$J:$J,0))</f>
        <v>442</v>
      </c>
      <c r="T2026" s="278"/>
      <c r="U2026" s="278"/>
      <c r="V2026" s="278"/>
      <c r="W2026" s="278"/>
    </row>
    <row r="2027" spans="1:23" s="269" customFormat="1" ht="20.25">
      <c r="A2027" s="267"/>
      <c r="B2027" s="275" t="s">
        <v>2437</v>
      </c>
      <c r="C2027" s="275" t="s">
        <v>3831</v>
      </c>
      <c r="D2027" s="168" t="s">
        <v>7813</v>
      </c>
      <c r="E2027" s="168" t="s">
        <v>1867</v>
      </c>
      <c r="F2027" s="168" t="s">
        <v>4623</v>
      </c>
      <c r="G2027" s="168" t="s">
        <v>4623</v>
      </c>
      <c r="H2027" s="292" t="s">
        <v>7814</v>
      </c>
      <c r="I2027" s="293" t="s">
        <v>3779</v>
      </c>
      <c r="J2027" s="293" t="s">
        <v>7815</v>
      </c>
      <c r="K2027" s="290" t="s">
        <v>7816</v>
      </c>
      <c r="L2027" s="290" t="s">
        <v>7817</v>
      </c>
      <c r="M2027" s="290" t="s">
        <v>4623</v>
      </c>
      <c r="N2027" s="290" t="s">
        <v>4623</v>
      </c>
      <c r="O2027" s="290" t="s">
        <v>4623</v>
      </c>
      <c r="P2027" s="290" t="s">
        <v>999</v>
      </c>
      <c r="Q2027" s="291" t="s">
        <v>4623</v>
      </c>
      <c r="R2027" s="276"/>
      <c r="S2027" s="277">
        <f>IF(OR(C2027="",C2027=T$4),NA(),MATCH($B2027&amp;$C2027,'Smelter Reference List'!$J:$J,0))</f>
        <v>442</v>
      </c>
      <c r="T2027" s="278"/>
      <c r="U2027" s="278"/>
      <c r="V2027" s="278"/>
      <c r="W2027" s="278"/>
    </row>
    <row r="2028" spans="1:23" s="269" customFormat="1" ht="20.25">
      <c r="A2028" s="267"/>
      <c r="B2028" s="275" t="s">
        <v>2437</v>
      </c>
      <c r="C2028" s="275" t="s">
        <v>3831</v>
      </c>
      <c r="D2028" s="168" t="s">
        <v>7818</v>
      </c>
      <c r="E2028" s="168" t="s">
        <v>1867</v>
      </c>
      <c r="F2028" s="168" t="s">
        <v>4623</v>
      </c>
      <c r="G2028" s="168" t="s">
        <v>4623</v>
      </c>
      <c r="H2028" s="292" t="s">
        <v>4623</v>
      </c>
      <c r="I2028" s="293" t="s">
        <v>4623</v>
      </c>
      <c r="J2028" s="293" t="s">
        <v>7819</v>
      </c>
      <c r="K2028" s="290" t="s">
        <v>7820</v>
      </c>
      <c r="L2028" s="290" t="s">
        <v>7821</v>
      </c>
      <c r="M2028" s="290" t="s">
        <v>4623</v>
      </c>
      <c r="N2028" s="290" t="s">
        <v>4623</v>
      </c>
      <c r="O2028" s="290" t="s">
        <v>4623</v>
      </c>
      <c r="P2028" s="290" t="s">
        <v>999</v>
      </c>
      <c r="Q2028" s="291" t="s">
        <v>4623</v>
      </c>
      <c r="R2028" s="276"/>
      <c r="S2028" s="277">
        <f>IF(OR(C2028="",C2028=T$4),NA(),MATCH($B2028&amp;$C2028,'Smelter Reference List'!$J:$J,0))</f>
        <v>442</v>
      </c>
      <c r="T2028" s="278"/>
      <c r="U2028" s="278"/>
      <c r="V2028" s="278"/>
      <c r="W2028" s="278"/>
    </row>
    <row r="2029" spans="1:23" s="269" customFormat="1" ht="20.25">
      <c r="A2029" s="267"/>
      <c r="B2029" s="275" t="s">
        <v>2437</v>
      </c>
      <c r="C2029" s="275" t="s">
        <v>3831</v>
      </c>
      <c r="D2029" s="168" t="s">
        <v>7822</v>
      </c>
      <c r="E2029" s="168" t="s">
        <v>1867</v>
      </c>
      <c r="F2029" s="168" t="s">
        <v>4623</v>
      </c>
      <c r="G2029" s="168" t="s">
        <v>4623</v>
      </c>
      <c r="H2029" s="292" t="s">
        <v>4623</v>
      </c>
      <c r="I2029" s="293" t="s">
        <v>4623</v>
      </c>
      <c r="J2029" s="293" t="s">
        <v>4623</v>
      </c>
      <c r="K2029" s="290" t="s">
        <v>4623</v>
      </c>
      <c r="L2029" s="290" t="s">
        <v>4623</v>
      </c>
      <c r="M2029" s="290" t="s">
        <v>4623</v>
      </c>
      <c r="N2029" s="290" t="s">
        <v>4623</v>
      </c>
      <c r="O2029" s="290" t="s">
        <v>4623</v>
      </c>
      <c r="P2029" s="290" t="s">
        <v>999</v>
      </c>
      <c r="Q2029" s="291" t="s">
        <v>4623</v>
      </c>
      <c r="R2029" s="276"/>
      <c r="S2029" s="277">
        <f>IF(OR(C2029="",C2029=T$4),NA(),MATCH($B2029&amp;$C2029,'Smelter Reference List'!$J:$J,0))</f>
        <v>442</v>
      </c>
      <c r="T2029" s="278"/>
      <c r="U2029" s="278"/>
      <c r="V2029" s="278"/>
      <c r="W2029" s="278"/>
    </row>
    <row r="2030" spans="1:23" s="269" customFormat="1" ht="20.25">
      <c r="A2030" s="267"/>
      <c r="B2030" s="275" t="s">
        <v>2437</v>
      </c>
      <c r="C2030" s="275" t="s">
        <v>3831</v>
      </c>
      <c r="D2030" s="168" t="s">
        <v>5907</v>
      </c>
      <c r="E2030" s="168" t="s">
        <v>1867</v>
      </c>
      <c r="F2030" s="168" t="s">
        <v>4623</v>
      </c>
      <c r="G2030" s="168" t="s">
        <v>4623</v>
      </c>
      <c r="H2030" s="292" t="s">
        <v>4623</v>
      </c>
      <c r="I2030" s="293" t="s">
        <v>4623</v>
      </c>
      <c r="J2030" s="293" t="s">
        <v>4623</v>
      </c>
      <c r="K2030" s="290" t="s">
        <v>4623</v>
      </c>
      <c r="L2030" s="290" t="s">
        <v>4623</v>
      </c>
      <c r="M2030" s="290" t="s">
        <v>4623</v>
      </c>
      <c r="N2030" s="290" t="s">
        <v>4623</v>
      </c>
      <c r="O2030" s="290" t="s">
        <v>4623</v>
      </c>
      <c r="P2030" s="290" t="s">
        <v>999</v>
      </c>
      <c r="Q2030" s="291" t="s">
        <v>4623</v>
      </c>
      <c r="R2030" s="276"/>
      <c r="S2030" s="277">
        <f>IF(OR(C2030="",C2030=T$4),NA(),MATCH($B2030&amp;$C2030,'Smelter Reference List'!$J:$J,0))</f>
        <v>442</v>
      </c>
      <c r="T2030" s="278"/>
      <c r="U2030" s="278"/>
      <c r="V2030" s="278"/>
      <c r="W2030" s="278"/>
    </row>
    <row r="2031" spans="1:23" s="269" customFormat="1" ht="20.25">
      <c r="A2031" s="267"/>
      <c r="B2031" s="275" t="s">
        <v>2437</v>
      </c>
      <c r="C2031" s="275" t="s">
        <v>3831</v>
      </c>
      <c r="D2031" s="168" t="s">
        <v>7074</v>
      </c>
      <c r="E2031" s="168" t="s">
        <v>1867</v>
      </c>
      <c r="F2031" s="168" t="s">
        <v>4623</v>
      </c>
      <c r="G2031" s="168" t="s">
        <v>4623</v>
      </c>
      <c r="H2031" s="292" t="s">
        <v>4623</v>
      </c>
      <c r="I2031" s="293" t="s">
        <v>4623</v>
      </c>
      <c r="J2031" s="293" t="s">
        <v>4623</v>
      </c>
      <c r="K2031" s="290" t="s">
        <v>4623</v>
      </c>
      <c r="L2031" s="290" t="s">
        <v>4623</v>
      </c>
      <c r="M2031" s="290" t="s">
        <v>4623</v>
      </c>
      <c r="N2031" s="290" t="s">
        <v>4623</v>
      </c>
      <c r="O2031" s="290" t="s">
        <v>4623</v>
      </c>
      <c r="P2031" s="290" t="s">
        <v>999</v>
      </c>
      <c r="Q2031" s="291" t="s">
        <v>4623</v>
      </c>
      <c r="R2031" s="276"/>
      <c r="S2031" s="277">
        <f>IF(OR(C2031="",C2031=T$4),NA(),MATCH($B2031&amp;$C2031,'Smelter Reference List'!$J:$J,0))</f>
        <v>442</v>
      </c>
      <c r="T2031" s="278"/>
      <c r="U2031" s="278"/>
      <c r="V2031" s="278"/>
      <c r="W2031" s="278"/>
    </row>
    <row r="2032" spans="1:23" s="269" customFormat="1" ht="20.25">
      <c r="A2032" s="267"/>
      <c r="B2032" s="275" t="s">
        <v>2437</v>
      </c>
      <c r="C2032" s="275" t="s">
        <v>3831</v>
      </c>
      <c r="D2032" s="168" t="s">
        <v>6514</v>
      </c>
      <c r="E2032" s="168" t="s">
        <v>1867</v>
      </c>
      <c r="F2032" s="168" t="s">
        <v>4623</v>
      </c>
      <c r="G2032" s="168" t="s">
        <v>4623</v>
      </c>
      <c r="H2032" s="292" t="s">
        <v>7823</v>
      </c>
      <c r="I2032" s="293" t="s">
        <v>3436</v>
      </c>
      <c r="J2032" s="293" t="s">
        <v>4803</v>
      </c>
      <c r="K2032" s="290" t="s">
        <v>7824</v>
      </c>
      <c r="L2032" s="290" t="s">
        <v>4623</v>
      </c>
      <c r="M2032" s="290" t="s">
        <v>4623</v>
      </c>
      <c r="N2032" s="290" t="s">
        <v>4623</v>
      </c>
      <c r="O2032" s="290" t="s">
        <v>4623</v>
      </c>
      <c r="P2032" s="290" t="s">
        <v>999</v>
      </c>
      <c r="Q2032" s="291" t="s">
        <v>4623</v>
      </c>
      <c r="R2032" s="276"/>
      <c r="S2032" s="277">
        <f>IF(OR(C2032="",C2032=T$4),NA(),MATCH($B2032&amp;$C2032,'Smelter Reference List'!$J:$J,0))</f>
        <v>442</v>
      </c>
      <c r="T2032" s="278"/>
      <c r="U2032" s="278"/>
      <c r="V2032" s="278"/>
      <c r="W2032" s="278"/>
    </row>
    <row r="2033" spans="1:23" s="269" customFormat="1" ht="20.25">
      <c r="A2033" s="267"/>
      <c r="B2033" s="275" t="s">
        <v>2437</v>
      </c>
      <c r="C2033" s="275" t="s">
        <v>3831</v>
      </c>
      <c r="D2033" s="168" t="s">
        <v>6413</v>
      </c>
      <c r="E2033" s="168" t="s">
        <v>1867</v>
      </c>
      <c r="F2033" s="168" t="s">
        <v>4623</v>
      </c>
      <c r="G2033" s="168" t="s">
        <v>4623</v>
      </c>
      <c r="H2033" s="292" t="s">
        <v>4623</v>
      </c>
      <c r="I2033" s="293" t="s">
        <v>4623</v>
      </c>
      <c r="J2033" s="293" t="s">
        <v>4623</v>
      </c>
      <c r="K2033" s="290" t="s">
        <v>4623</v>
      </c>
      <c r="L2033" s="290" t="s">
        <v>4623</v>
      </c>
      <c r="M2033" s="290" t="s">
        <v>4623</v>
      </c>
      <c r="N2033" s="290" t="s">
        <v>4633</v>
      </c>
      <c r="O2033" s="290" t="s">
        <v>4623</v>
      </c>
      <c r="P2033" s="290" t="s">
        <v>999</v>
      </c>
      <c r="Q2033" s="291" t="s">
        <v>4623</v>
      </c>
      <c r="R2033" s="276"/>
      <c r="S2033" s="277">
        <f>IF(OR(C2033="",C2033=T$4),NA(),MATCH($B2033&amp;$C2033,'Smelter Reference List'!$J:$J,0))</f>
        <v>442</v>
      </c>
      <c r="T2033" s="278"/>
      <c r="U2033" s="278"/>
      <c r="V2033" s="278"/>
      <c r="W2033" s="278"/>
    </row>
    <row r="2034" spans="1:23" s="269" customFormat="1" ht="20.25">
      <c r="A2034" s="267"/>
      <c r="B2034" s="275" t="s">
        <v>2437</v>
      </c>
      <c r="C2034" s="275" t="s">
        <v>3831</v>
      </c>
      <c r="D2034" s="168" t="s">
        <v>7825</v>
      </c>
      <c r="E2034" s="168" t="s">
        <v>1867</v>
      </c>
      <c r="F2034" s="168" t="s">
        <v>4623</v>
      </c>
      <c r="G2034" s="168" t="s">
        <v>4623</v>
      </c>
      <c r="H2034" s="292" t="s">
        <v>7826</v>
      </c>
      <c r="I2034" s="293" t="s">
        <v>7827</v>
      </c>
      <c r="J2034" s="293" t="s">
        <v>7828</v>
      </c>
      <c r="K2034" s="290" t="s">
        <v>7829</v>
      </c>
      <c r="L2034" s="290" t="s">
        <v>7830</v>
      </c>
      <c r="M2034" s="290" t="s">
        <v>4623</v>
      </c>
      <c r="N2034" s="290" t="s">
        <v>4623</v>
      </c>
      <c r="O2034" s="290" t="s">
        <v>4623</v>
      </c>
      <c r="P2034" s="290" t="s">
        <v>999</v>
      </c>
      <c r="Q2034" s="291" t="s">
        <v>4623</v>
      </c>
      <c r="R2034" s="276"/>
      <c r="S2034" s="277">
        <f>IF(OR(C2034="",C2034=T$4),NA(),MATCH($B2034&amp;$C2034,'Smelter Reference List'!$J:$J,0))</f>
        <v>442</v>
      </c>
      <c r="T2034" s="278"/>
      <c r="U2034" s="278"/>
      <c r="V2034" s="278"/>
      <c r="W2034" s="278"/>
    </row>
    <row r="2035" spans="1:23" s="269" customFormat="1" ht="20.25">
      <c r="A2035" s="267"/>
      <c r="B2035" s="275" t="s">
        <v>2437</v>
      </c>
      <c r="C2035" s="275" t="s">
        <v>3831</v>
      </c>
      <c r="D2035" s="168" t="s">
        <v>7831</v>
      </c>
      <c r="E2035" s="168" t="s">
        <v>1867</v>
      </c>
      <c r="F2035" s="168" t="s">
        <v>4623</v>
      </c>
      <c r="G2035" s="168" t="s">
        <v>4623</v>
      </c>
      <c r="H2035" s="292" t="s">
        <v>4623</v>
      </c>
      <c r="I2035" s="293" t="s">
        <v>4623</v>
      </c>
      <c r="J2035" s="293" t="s">
        <v>4623</v>
      </c>
      <c r="K2035" s="290" t="s">
        <v>4623</v>
      </c>
      <c r="L2035" s="290" t="s">
        <v>4623</v>
      </c>
      <c r="M2035" s="290" t="s">
        <v>4623</v>
      </c>
      <c r="N2035" s="290" t="s">
        <v>4623</v>
      </c>
      <c r="O2035" s="290" t="s">
        <v>4623</v>
      </c>
      <c r="P2035" s="290" t="s">
        <v>999</v>
      </c>
      <c r="Q2035" s="291" t="s">
        <v>4623</v>
      </c>
      <c r="R2035" s="276"/>
      <c r="S2035" s="277">
        <f>IF(OR(C2035="",C2035=T$4),NA(),MATCH($B2035&amp;$C2035,'Smelter Reference List'!$J:$J,0))</f>
        <v>442</v>
      </c>
      <c r="T2035" s="278"/>
      <c r="U2035" s="278"/>
      <c r="V2035" s="278"/>
      <c r="W2035" s="278"/>
    </row>
    <row r="2036" spans="1:23" s="269" customFormat="1" ht="20.25">
      <c r="A2036" s="267"/>
      <c r="B2036" s="275" t="s">
        <v>2437</v>
      </c>
      <c r="C2036" s="275" t="s">
        <v>3831</v>
      </c>
      <c r="D2036" s="168" t="s">
        <v>7832</v>
      </c>
      <c r="E2036" s="168" t="s">
        <v>1867</v>
      </c>
      <c r="F2036" s="168" t="s">
        <v>4623</v>
      </c>
      <c r="G2036" s="168" t="s">
        <v>4623</v>
      </c>
      <c r="H2036" s="292" t="s">
        <v>4623</v>
      </c>
      <c r="I2036" s="293" t="s">
        <v>4623</v>
      </c>
      <c r="J2036" s="293" t="s">
        <v>4623</v>
      </c>
      <c r="K2036" s="290" t="s">
        <v>4623</v>
      </c>
      <c r="L2036" s="290" t="s">
        <v>4623</v>
      </c>
      <c r="M2036" s="290" t="s">
        <v>4623</v>
      </c>
      <c r="N2036" s="290" t="s">
        <v>4623</v>
      </c>
      <c r="O2036" s="290" t="s">
        <v>4623</v>
      </c>
      <c r="P2036" s="290" t="s">
        <v>999</v>
      </c>
      <c r="Q2036" s="291" t="s">
        <v>4623</v>
      </c>
      <c r="R2036" s="276"/>
      <c r="S2036" s="277">
        <f>IF(OR(C2036="",C2036=T$4),NA(),MATCH($B2036&amp;$C2036,'Smelter Reference List'!$J:$J,0))</f>
        <v>442</v>
      </c>
      <c r="T2036" s="278"/>
      <c r="U2036" s="278"/>
      <c r="V2036" s="278"/>
      <c r="W2036" s="278"/>
    </row>
    <row r="2037" spans="1:23" s="269" customFormat="1" ht="20.25">
      <c r="A2037" s="267"/>
      <c r="B2037" s="275" t="s">
        <v>2437</v>
      </c>
      <c r="C2037" s="275" t="s">
        <v>3831</v>
      </c>
      <c r="D2037" s="168" t="s">
        <v>7833</v>
      </c>
      <c r="E2037" s="168" t="s">
        <v>1867</v>
      </c>
      <c r="F2037" s="168" t="s">
        <v>4623</v>
      </c>
      <c r="G2037" s="168" t="s">
        <v>4623</v>
      </c>
      <c r="H2037" s="292" t="s">
        <v>4623</v>
      </c>
      <c r="I2037" s="293" t="s">
        <v>4623</v>
      </c>
      <c r="J2037" s="293" t="s">
        <v>4623</v>
      </c>
      <c r="K2037" s="290" t="s">
        <v>4623</v>
      </c>
      <c r="L2037" s="290" t="s">
        <v>4623</v>
      </c>
      <c r="M2037" s="290" t="s">
        <v>4623</v>
      </c>
      <c r="N2037" s="290" t="s">
        <v>4623</v>
      </c>
      <c r="O2037" s="290" t="s">
        <v>4623</v>
      </c>
      <c r="P2037" s="290" t="s">
        <v>999</v>
      </c>
      <c r="Q2037" s="291" t="s">
        <v>4623</v>
      </c>
      <c r="R2037" s="276"/>
      <c r="S2037" s="277">
        <f>IF(OR(C2037="",C2037=T$4),NA(),MATCH($B2037&amp;$C2037,'Smelter Reference List'!$J:$J,0))</f>
        <v>442</v>
      </c>
      <c r="T2037" s="278"/>
      <c r="U2037" s="278"/>
      <c r="V2037" s="278"/>
      <c r="W2037" s="278"/>
    </row>
    <row r="2038" spans="1:23" s="269" customFormat="1" ht="20.25">
      <c r="A2038" s="267"/>
      <c r="B2038" s="275" t="s">
        <v>2437</v>
      </c>
      <c r="C2038" s="275" t="s">
        <v>3831</v>
      </c>
      <c r="D2038" s="168" t="s">
        <v>7834</v>
      </c>
      <c r="E2038" s="168" t="s">
        <v>1867</v>
      </c>
      <c r="F2038" s="168" t="s">
        <v>4623</v>
      </c>
      <c r="G2038" s="168" t="s">
        <v>4623</v>
      </c>
      <c r="H2038" s="292" t="s">
        <v>4623</v>
      </c>
      <c r="I2038" s="293" t="s">
        <v>4623</v>
      </c>
      <c r="J2038" s="293" t="s">
        <v>4623</v>
      </c>
      <c r="K2038" s="290" t="s">
        <v>4623</v>
      </c>
      <c r="L2038" s="290" t="s">
        <v>4623</v>
      </c>
      <c r="M2038" s="290" t="s">
        <v>4623</v>
      </c>
      <c r="N2038" s="290" t="s">
        <v>4623</v>
      </c>
      <c r="O2038" s="290" t="s">
        <v>4623</v>
      </c>
      <c r="P2038" s="290" t="s">
        <v>999</v>
      </c>
      <c r="Q2038" s="291" t="s">
        <v>4623</v>
      </c>
      <c r="R2038" s="276"/>
      <c r="S2038" s="277">
        <f>IF(OR(C2038="",C2038=T$4),NA(),MATCH($B2038&amp;$C2038,'Smelter Reference List'!$J:$J,0))</f>
        <v>442</v>
      </c>
      <c r="T2038" s="278"/>
      <c r="U2038" s="278"/>
      <c r="V2038" s="278"/>
      <c r="W2038" s="278"/>
    </row>
    <row r="2039" spans="1:23" s="269" customFormat="1" ht="20.25">
      <c r="A2039" s="267"/>
      <c r="B2039" s="275" t="s">
        <v>2437</v>
      </c>
      <c r="C2039" s="275" t="s">
        <v>3831</v>
      </c>
      <c r="D2039" s="168" t="s">
        <v>7835</v>
      </c>
      <c r="E2039" s="168" t="s">
        <v>1867</v>
      </c>
      <c r="F2039" s="168" t="s">
        <v>4623</v>
      </c>
      <c r="G2039" s="168" t="s">
        <v>4623</v>
      </c>
      <c r="H2039" s="292" t="s">
        <v>4623</v>
      </c>
      <c r="I2039" s="293" t="s">
        <v>4623</v>
      </c>
      <c r="J2039" s="293" t="s">
        <v>4623</v>
      </c>
      <c r="K2039" s="290" t="s">
        <v>4623</v>
      </c>
      <c r="L2039" s="290" t="s">
        <v>4623</v>
      </c>
      <c r="M2039" s="290" t="s">
        <v>4623</v>
      </c>
      <c r="N2039" s="290" t="s">
        <v>4623</v>
      </c>
      <c r="O2039" s="290" t="s">
        <v>4623</v>
      </c>
      <c r="P2039" s="290" t="s">
        <v>999</v>
      </c>
      <c r="Q2039" s="291" t="s">
        <v>4623</v>
      </c>
      <c r="R2039" s="276"/>
      <c r="S2039" s="277">
        <f>IF(OR(C2039="",C2039=T$4),NA(),MATCH($B2039&amp;$C2039,'Smelter Reference List'!$J:$J,0))</f>
        <v>442</v>
      </c>
      <c r="T2039" s="278"/>
      <c r="U2039" s="278"/>
      <c r="V2039" s="278"/>
      <c r="W2039" s="278"/>
    </row>
    <row r="2040" spans="1:23" s="269" customFormat="1" ht="20.25">
      <c r="A2040" s="267"/>
      <c r="B2040" s="275" t="s">
        <v>2437</v>
      </c>
      <c r="C2040" s="275" t="s">
        <v>3831</v>
      </c>
      <c r="D2040" s="168" t="s">
        <v>6572</v>
      </c>
      <c r="E2040" s="168" t="s">
        <v>1867</v>
      </c>
      <c r="F2040" s="168" t="s">
        <v>4623</v>
      </c>
      <c r="G2040" s="168" t="s">
        <v>4623</v>
      </c>
      <c r="H2040" s="292" t="s">
        <v>4623</v>
      </c>
      <c r="I2040" s="293" t="s">
        <v>4623</v>
      </c>
      <c r="J2040" s="293" t="s">
        <v>4623</v>
      </c>
      <c r="K2040" s="290" t="s">
        <v>4623</v>
      </c>
      <c r="L2040" s="290" t="s">
        <v>4623</v>
      </c>
      <c r="M2040" s="290" t="s">
        <v>4623</v>
      </c>
      <c r="N2040" s="290" t="s">
        <v>4623</v>
      </c>
      <c r="O2040" s="290" t="s">
        <v>4623</v>
      </c>
      <c r="P2040" s="290" t="s">
        <v>999</v>
      </c>
      <c r="Q2040" s="291" t="s">
        <v>4623</v>
      </c>
      <c r="R2040" s="276"/>
      <c r="S2040" s="277">
        <f>IF(OR(C2040="",C2040=T$4),NA(),MATCH($B2040&amp;$C2040,'Smelter Reference List'!$J:$J,0))</f>
        <v>442</v>
      </c>
      <c r="T2040" s="278"/>
      <c r="U2040" s="278"/>
      <c r="V2040" s="278"/>
      <c r="W2040" s="278"/>
    </row>
    <row r="2041" spans="1:23" s="269" customFormat="1" ht="20.25">
      <c r="A2041" s="267"/>
      <c r="B2041" s="275" t="s">
        <v>2437</v>
      </c>
      <c r="C2041" s="275" t="s">
        <v>3831</v>
      </c>
      <c r="D2041" s="168" t="s">
        <v>7836</v>
      </c>
      <c r="E2041" s="168" t="s">
        <v>1867</v>
      </c>
      <c r="F2041" s="168" t="s">
        <v>4623</v>
      </c>
      <c r="G2041" s="168" t="s">
        <v>4623</v>
      </c>
      <c r="H2041" s="292" t="s">
        <v>4623</v>
      </c>
      <c r="I2041" s="293" t="s">
        <v>4623</v>
      </c>
      <c r="J2041" s="293" t="s">
        <v>4623</v>
      </c>
      <c r="K2041" s="290" t="s">
        <v>4623</v>
      </c>
      <c r="L2041" s="290" t="s">
        <v>4623</v>
      </c>
      <c r="M2041" s="290" t="s">
        <v>4623</v>
      </c>
      <c r="N2041" s="290" t="s">
        <v>4623</v>
      </c>
      <c r="O2041" s="290" t="s">
        <v>4623</v>
      </c>
      <c r="P2041" s="290" t="s">
        <v>999</v>
      </c>
      <c r="Q2041" s="291" t="s">
        <v>4623</v>
      </c>
      <c r="R2041" s="276"/>
      <c r="S2041" s="277">
        <f>IF(OR(C2041="",C2041=T$4),NA(),MATCH($B2041&amp;$C2041,'Smelter Reference List'!$J:$J,0))</f>
        <v>442</v>
      </c>
      <c r="T2041" s="278"/>
      <c r="U2041" s="278"/>
      <c r="V2041" s="278"/>
      <c r="W2041" s="278"/>
    </row>
    <row r="2042" spans="1:23" s="269" customFormat="1" ht="20.25">
      <c r="A2042" s="267"/>
      <c r="B2042" s="275" t="s">
        <v>2437</v>
      </c>
      <c r="C2042" s="275" t="s">
        <v>3831</v>
      </c>
      <c r="D2042" s="168" t="s">
        <v>7837</v>
      </c>
      <c r="E2042" s="168" t="s">
        <v>1867</v>
      </c>
      <c r="F2042" s="168" t="s">
        <v>4623</v>
      </c>
      <c r="G2042" s="168" t="s">
        <v>4623</v>
      </c>
      <c r="H2042" s="292" t="s">
        <v>4623</v>
      </c>
      <c r="I2042" s="293" t="s">
        <v>4623</v>
      </c>
      <c r="J2042" s="293" t="s">
        <v>4623</v>
      </c>
      <c r="K2042" s="290" t="s">
        <v>4623</v>
      </c>
      <c r="L2042" s="290" t="s">
        <v>4623</v>
      </c>
      <c r="M2042" s="290" t="s">
        <v>4623</v>
      </c>
      <c r="N2042" s="290" t="s">
        <v>4623</v>
      </c>
      <c r="O2042" s="290" t="s">
        <v>4623</v>
      </c>
      <c r="P2042" s="290" t="s">
        <v>999</v>
      </c>
      <c r="Q2042" s="291" t="s">
        <v>4623</v>
      </c>
      <c r="R2042" s="276"/>
      <c r="S2042" s="277">
        <f>IF(OR(C2042="",C2042=T$4),NA(),MATCH($B2042&amp;$C2042,'Smelter Reference List'!$J:$J,0))</f>
        <v>442</v>
      </c>
      <c r="T2042" s="278"/>
      <c r="U2042" s="278"/>
      <c r="V2042" s="278"/>
      <c r="W2042" s="278"/>
    </row>
    <row r="2043" spans="1:23" s="269" customFormat="1" ht="20.25">
      <c r="A2043" s="267"/>
      <c r="B2043" s="275" t="s">
        <v>2437</v>
      </c>
      <c r="C2043" s="275" t="s">
        <v>3831</v>
      </c>
      <c r="D2043" s="168" t="s">
        <v>7838</v>
      </c>
      <c r="E2043" s="168" t="s">
        <v>1867</v>
      </c>
      <c r="F2043" s="168" t="s">
        <v>4623</v>
      </c>
      <c r="G2043" s="168" t="s">
        <v>4623</v>
      </c>
      <c r="H2043" s="292" t="s">
        <v>7839</v>
      </c>
      <c r="I2043" s="293" t="s">
        <v>4623</v>
      </c>
      <c r="J2043" s="293" t="s">
        <v>4623</v>
      </c>
      <c r="K2043" s="290" t="s">
        <v>4623</v>
      </c>
      <c r="L2043" s="290" t="s">
        <v>4623</v>
      </c>
      <c r="M2043" s="290" t="s">
        <v>4623</v>
      </c>
      <c r="N2043" s="290" t="s">
        <v>4623</v>
      </c>
      <c r="O2043" s="290" t="s">
        <v>4623</v>
      </c>
      <c r="P2043" s="290" t="s">
        <v>999</v>
      </c>
      <c r="Q2043" s="291" t="s">
        <v>4623</v>
      </c>
      <c r="R2043" s="276"/>
      <c r="S2043" s="277">
        <f>IF(OR(C2043="",C2043=T$4),NA(),MATCH($B2043&amp;$C2043,'Smelter Reference List'!$J:$J,0))</f>
        <v>442</v>
      </c>
      <c r="T2043" s="278"/>
      <c r="U2043" s="278"/>
      <c r="V2043" s="278"/>
      <c r="W2043" s="278"/>
    </row>
    <row r="2044" spans="1:23" s="269" customFormat="1" ht="20.25">
      <c r="A2044" s="267"/>
      <c r="B2044" s="275" t="s">
        <v>2437</v>
      </c>
      <c r="C2044" s="275" t="s">
        <v>3831</v>
      </c>
      <c r="D2044" s="168" t="s">
        <v>7840</v>
      </c>
      <c r="E2044" s="168" t="s">
        <v>1867</v>
      </c>
      <c r="F2044" s="168" t="s">
        <v>4623</v>
      </c>
      <c r="G2044" s="168" t="s">
        <v>4623</v>
      </c>
      <c r="H2044" s="292" t="s">
        <v>7841</v>
      </c>
      <c r="I2044" s="293" t="s">
        <v>4623</v>
      </c>
      <c r="J2044" s="293" t="s">
        <v>4623</v>
      </c>
      <c r="K2044" s="290" t="s">
        <v>7842</v>
      </c>
      <c r="L2044" s="290" t="s">
        <v>4623</v>
      </c>
      <c r="M2044" s="290" t="s">
        <v>4623</v>
      </c>
      <c r="N2044" s="290" t="s">
        <v>4623</v>
      </c>
      <c r="O2044" s="290" t="s">
        <v>4623</v>
      </c>
      <c r="P2044" s="290" t="s">
        <v>999</v>
      </c>
      <c r="Q2044" s="291" t="s">
        <v>4623</v>
      </c>
      <c r="R2044" s="276"/>
      <c r="S2044" s="277">
        <f>IF(OR(C2044="",C2044=T$4),NA(),MATCH($B2044&amp;$C2044,'Smelter Reference List'!$J:$J,0))</f>
        <v>442</v>
      </c>
      <c r="T2044" s="278"/>
      <c r="U2044" s="278"/>
      <c r="V2044" s="278"/>
      <c r="W2044" s="278"/>
    </row>
    <row r="2045" spans="1:23" s="269" customFormat="1" ht="20.25">
      <c r="A2045" s="267"/>
      <c r="B2045" s="275" t="s">
        <v>2437</v>
      </c>
      <c r="C2045" s="275" t="s">
        <v>3831</v>
      </c>
      <c r="D2045" s="168" t="s">
        <v>7843</v>
      </c>
      <c r="E2045" s="168" t="s">
        <v>1867</v>
      </c>
      <c r="F2045" s="168" t="s">
        <v>4623</v>
      </c>
      <c r="G2045" s="168" t="s">
        <v>4623</v>
      </c>
      <c r="H2045" s="292" t="s">
        <v>7844</v>
      </c>
      <c r="I2045" s="293" t="s">
        <v>7845</v>
      </c>
      <c r="J2045" s="293" t="s">
        <v>7846</v>
      </c>
      <c r="K2045" s="290" t="s">
        <v>7847</v>
      </c>
      <c r="L2045" s="290" t="s">
        <v>7848</v>
      </c>
      <c r="M2045" s="290" t="s">
        <v>4623</v>
      </c>
      <c r="N2045" s="290" t="s">
        <v>4623</v>
      </c>
      <c r="O2045" s="290" t="s">
        <v>7849</v>
      </c>
      <c r="P2045" s="290" t="s">
        <v>999</v>
      </c>
      <c r="Q2045" s="291" t="s">
        <v>4623</v>
      </c>
      <c r="R2045" s="276"/>
      <c r="S2045" s="277">
        <f>IF(OR(C2045="",C2045=T$4),NA(),MATCH($B2045&amp;$C2045,'Smelter Reference List'!$J:$J,0))</f>
        <v>442</v>
      </c>
      <c r="T2045" s="278"/>
      <c r="U2045" s="278"/>
      <c r="V2045" s="278"/>
      <c r="W2045" s="278"/>
    </row>
    <row r="2046" spans="1:23" s="269" customFormat="1" ht="20.25">
      <c r="A2046" s="267"/>
      <c r="B2046" s="275" t="s">
        <v>2437</v>
      </c>
      <c r="C2046" s="275" t="s">
        <v>3831</v>
      </c>
      <c r="D2046" s="168" t="s">
        <v>7850</v>
      </c>
      <c r="E2046" s="168" t="s">
        <v>1867</v>
      </c>
      <c r="F2046" s="168" t="s">
        <v>4623</v>
      </c>
      <c r="G2046" s="168" t="s">
        <v>4623</v>
      </c>
      <c r="H2046" s="292" t="s">
        <v>4623</v>
      </c>
      <c r="I2046" s="293" t="s">
        <v>4623</v>
      </c>
      <c r="J2046" s="293" t="s">
        <v>4623</v>
      </c>
      <c r="K2046" s="290" t="s">
        <v>4623</v>
      </c>
      <c r="L2046" s="290" t="s">
        <v>4623</v>
      </c>
      <c r="M2046" s="290" t="s">
        <v>4623</v>
      </c>
      <c r="N2046" s="290" t="s">
        <v>4623</v>
      </c>
      <c r="O2046" s="290" t="s">
        <v>4623</v>
      </c>
      <c r="P2046" s="290" t="s">
        <v>999</v>
      </c>
      <c r="Q2046" s="291" t="s">
        <v>4623</v>
      </c>
      <c r="R2046" s="276"/>
      <c r="S2046" s="277">
        <f>IF(OR(C2046="",C2046=T$4),NA(),MATCH($B2046&amp;$C2046,'Smelter Reference List'!$J:$J,0))</f>
        <v>442</v>
      </c>
      <c r="T2046" s="278"/>
      <c r="U2046" s="278"/>
      <c r="V2046" s="278"/>
      <c r="W2046" s="278"/>
    </row>
    <row r="2047" spans="1:23" s="269" customFormat="1" ht="20.25">
      <c r="A2047" s="267"/>
      <c r="B2047" s="275" t="s">
        <v>2437</v>
      </c>
      <c r="C2047" s="275" t="s">
        <v>3831</v>
      </c>
      <c r="D2047" s="168" t="s">
        <v>7851</v>
      </c>
      <c r="E2047" s="168" t="s">
        <v>1867</v>
      </c>
      <c r="F2047" s="168" t="s">
        <v>4623</v>
      </c>
      <c r="G2047" s="168" t="s">
        <v>4623</v>
      </c>
      <c r="H2047" s="292" t="s">
        <v>4623</v>
      </c>
      <c r="I2047" s="293" t="s">
        <v>4623</v>
      </c>
      <c r="J2047" s="293" t="s">
        <v>4623</v>
      </c>
      <c r="K2047" s="290" t="s">
        <v>4623</v>
      </c>
      <c r="L2047" s="290" t="s">
        <v>4623</v>
      </c>
      <c r="M2047" s="290" t="s">
        <v>4623</v>
      </c>
      <c r="N2047" s="290" t="s">
        <v>4623</v>
      </c>
      <c r="O2047" s="290" t="s">
        <v>4623</v>
      </c>
      <c r="P2047" s="290" t="s">
        <v>999</v>
      </c>
      <c r="Q2047" s="291" t="s">
        <v>4623</v>
      </c>
      <c r="R2047" s="276"/>
      <c r="S2047" s="277">
        <f>IF(OR(C2047="",C2047=T$4),NA(),MATCH($B2047&amp;$C2047,'Smelter Reference List'!$J:$J,0))</f>
        <v>442</v>
      </c>
      <c r="T2047" s="278"/>
      <c r="U2047" s="278"/>
      <c r="V2047" s="278"/>
      <c r="W2047" s="278"/>
    </row>
    <row r="2048" spans="1:23" s="269" customFormat="1" ht="20.25">
      <c r="A2048" s="267"/>
      <c r="B2048" s="275" t="s">
        <v>2437</v>
      </c>
      <c r="C2048" s="275" t="s">
        <v>3831</v>
      </c>
      <c r="D2048" s="168" t="s">
        <v>7852</v>
      </c>
      <c r="E2048" s="168" t="s">
        <v>1867</v>
      </c>
      <c r="F2048" s="168" t="s">
        <v>4623</v>
      </c>
      <c r="G2048" s="168" t="s">
        <v>4623</v>
      </c>
      <c r="H2048" s="292" t="s">
        <v>4623</v>
      </c>
      <c r="I2048" s="293" t="s">
        <v>4623</v>
      </c>
      <c r="J2048" s="293" t="s">
        <v>4623</v>
      </c>
      <c r="K2048" s="290" t="s">
        <v>4623</v>
      </c>
      <c r="L2048" s="290" t="s">
        <v>4623</v>
      </c>
      <c r="M2048" s="290" t="s">
        <v>4623</v>
      </c>
      <c r="N2048" s="290" t="s">
        <v>4623</v>
      </c>
      <c r="O2048" s="290" t="s">
        <v>4623</v>
      </c>
      <c r="P2048" s="290" t="s">
        <v>999</v>
      </c>
      <c r="Q2048" s="291" t="s">
        <v>4623</v>
      </c>
      <c r="R2048" s="276"/>
      <c r="S2048" s="277">
        <f>IF(OR(C2048="",C2048=T$4),NA(),MATCH($B2048&amp;$C2048,'Smelter Reference List'!$J:$J,0))</f>
        <v>442</v>
      </c>
      <c r="T2048" s="278"/>
      <c r="U2048" s="278"/>
      <c r="V2048" s="278"/>
      <c r="W2048" s="278"/>
    </row>
    <row r="2049" spans="1:23" s="269" customFormat="1" ht="20.25">
      <c r="A2049" s="267"/>
      <c r="B2049" s="275" t="s">
        <v>2437</v>
      </c>
      <c r="C2049" s="275" t="s">
        <v>3831</v>
      </c>
      <c r="D2049" s="168" t="s">
        <v>6660</v>
      </c>
      <c r="E2049" s="168" t="s">
        <v>1867</v>
      </c>
      <c r="F2049" s="168" t="s">
        <v>4623</v>
      </c>
      <c r="G2049" s="168" t="s">
        <v>4623</v>
      </c>
      <c r="H2049" s="292" t="s">
        <v>4623</v>
      </c>
      <c r="I2049" s="293" t="s">
        <v>4623</v>
      </c>
      <c r="J2049" s="293" t="s">
        <v>4623</v>
      </c>
      <c r="K2049" s="290" t="s">
        <v>4623</v>
      </c>
      <c r="L2049" s="290" t="s">
        <v>4623</v>
      </c>
      <c r="M2049" s="290" t="s">
        <v>6377</v>
      </c>
      <c r="N2049" s="290" t="s">
        <v>5000</v>
      </c>
      <c r="O2049" s="290" t="s">
        <v>5000</v>
      </c>
      <c r="P2049" s="290" t="s">
        <v>999</v>
      </c>
      <c r="Q2049" s="291" t="s">
        <v>4623</v>
      </c>
      <c r="R2049" s="276"/>
      <c r="S2049" s="277">
        <f>IF(OR(C2049="",C2049=T$4),NA(),MATCH($B2049&amp;$C2049,'Smelter Reference List'!$J:$J,0))</f>
        <v>442</v>
      </c>
      <c r="T2049" s="278"/>
      <c r="U2049" s="278"/>
      <c r="V2049" s="278"/>
      <c r="W2049" s="278"/>
    </row>
    <row r="2050" spans="1:23" s="269" customFormat="1" ht="20.25">
      <c r="A2050" s="267"/>
      <c r="B2050" s="275" t="s">
        <v>2437</v>
      </c>
      <c r="C2050" s="275" t="s">
        <v>3831</v>
      </c>
      <c r="D2050" s="168" t="s">
        <v>7853</v>
      </c>
      <c r="E2050" s="168" t="s">
        <v>1867</v>
      </c>
      <c r="F2050" s="168" t="s">
        <v>4623</v>
      </c>
      <c r="G2050" s="168" t="s">
        <v>4623</v>
      </c>
      <c r="H2050" s="292" t="s">
        <v>7854</v>
      </c>
      <c r="I2050" s="293" t="s">
        <v>7855</v>
      </c>
      <c r="J2050" s="293" t="s">
        <v>7856</v>
      </c>
      <c r="K2050" s="290" t="s">
        <v>7857</v>
      </c>
      <c r="L2050" s="290" t="s">
        <v>4623</v>
      </c>
      <c r="M2050" s="290" t="s">
        <v>4623</v>
      </c>
      <c r="N2050" s="290" t="s">
        <v>4671</v>
      </c>
      <c r="O2050" s="290" t="s">
        <v>4671</v>
      </c>
      <c r="P2050" s="290" t="s">
        <v>998</v>
      </c>
      <c r="Q2050" s="291" t="s">
        <v>4623</v>
      </c>
      <c r="R2050" s="276"/>
      <c r="S2050" s="277">
        <f>IF(OR(C2050="",C2050=T$4),NA(),MATCH($B2050&amp;$C2050,'Smelter Reference List'!$J:$J,0))</f>
        <v>442</v>
      </c>
      <c r="T2050" s="278"/>
      <c r="U2050" s="278"/>
      <c r="V2050" s="278"/>
      <c r="W2050" s="278"/>
    </row>
    <row r="2051" spans="1:23" s="269" customFormat="1" ht="20.25">
      <c r="A2051" s="267"/>
      <c r="B2051" s="275" t="s">
        <v>2437</v>
      </c>
      <c r="C2051" s="275" t="s">
        <v>3831</v>
      </c>
      <c r="D2051" s="168" t="s">
        <v>7858</v>
      </c>
      <c r="E2051" s="168" t="s">
        <v>1867</v>
      </c>
      <c r="F2051" s="168" t="s">
        <v>4623</v>
      </c>
      <c r="G2051" s="168" t="s">
        <v>4623</v>
      </c>
      <c r="H2051" s="292" t="s">
        <v>4623</v>
      </c>
      <c r="I2051" s="293" t="s">
        <v>4623</v>
      </c>
      <c r="J2051" s="293" t="s">
        <v>4623</v>
      </c>
      <c r="K2051" s="290" t="s">
        <v>4623</v>
      </c>
      <c r="L2051" s="290" t="s">
        <v>4623</v>
      </c>
      <c r="M2051" s="290" t="s">
        <v>4623</v>
      </c>
      <c r="N2051" s="290" t="s">
        <v>4623</v>
      </c>
      <c r="O2051" s="290" t="s">
        <v>4623</v>
      </c>
      <c r="P2051" s="290" t="s">
        <v>999</v>
      </c>
      <c r="Q2051" s="291" t="s">
        <v>4623</v>
      </c>
      <c r="R2051" s="276"/>
      <c r="S2051" s="277">
        <f>IF(OR(C2051="",C2051=T$4),NA(),MATCH($B2051&amp;$C2051,'Smelter Reference List'!$J:$J,0))</f>
        <v>442</v>
      </c>
      <c r="T2051" s="278"/>
      <c r="U2051" s="278"/>
      <c r="V2051" s="278"/>
      <c r="W2051" s="278"/>
    </row>
    <row r="2052" spans="1:23" s="269" customFormat="1" ht="20.25">
      <c r="A2052" s="267"/>
      <c r="B2052" s="275" t="s">
        <v>2437</v>
      </c>
      <c r="C2052" s="275" t="s">
        <v>3831</v>
      </c>
      <c r="D2052" s="168" t="s">
        <v>7859</v>
      </c>
      <c r="E2052" s="168" t="s">
        <v>1867</v>
      </c>
      <c r="F2052" s="168" t="s">
        <v>4623</v>
      </c>
      <c r="G2052" s="168" t="s">
        <v>4623</v>
      </c>
      <c r="H2052" s="292" t="s">
        <v>4623</v>
      </c>
      <c r="I2052" s="293" t="s">
        <v>4623</v>
      </c>
      <c r="J2052" s="293" t="s">
        <v>4623</v>
      </c>
      <c r="K2052" s="290" t="s">
        <v>4623</v>
      </c>
      <c r="L2052" s="290" t="s">
        <v>4623</v>
      </c>
      <c r="M2052" s="290" t="s">
        <v>4623</v>
      </c>
      <c r="N2052" s="290" t="s">
        <v>4623</v>
      </c>
      <c r="O2052" s="290" t="s">
        <v>4623</v>
      </c>
      <c r="P2052" s="290" t="s">
        <v>999</v>
      </c>
      <c r="Q2052" s="291" t="s">
        <v>4623</v>
      </c>
      <c r="R2052" s="276"/>
      <c r="S2052" s="277">
        <f>IF(OR(C2052="",C2052=T$4),NA(),MATCH($B2052&amp;$C2052,'Smelter Reference List'!$J:$J,0))</f>
        <v>442</v>
      </c>
      <c r="T2052" s="278"/>
      <c r="U2052" s="278"/>
      <c r="V2052" s="278"/>
      <c r="W2052" s="278"/>
    </row>
    <row r="2053" spans="1:23" s="269" customFormat="1" ht="20.25">
      <c r="A2053" s="267"/>
      <c r="B2053" s="275" t="s">
        <v>2437</v>
      </c>
      <c r="C2053" s="275" t="s">
        <v>3831</v>
      </c>
      <c r="D2053" s="168" t="s">
        <v>7860</v>
      </c>
      <c r="E2053" s="168" t="s">
        <v>1867</v>
      </c>
      <c r="F2053" s="168" t="s">
        <v>4623</v>
      </c>
      <c r="G2053" s="168" t="s">
        <v>4623</v>
      </c>
      <c r="H2053" s="292" t="s">
        <v>7861</v>
      </c>
      <c r="I2053" s="293" t="s">
        <v>7862</v>
      </c>
      <c r="J2053" s="293" t="s">
        <v>7863</v>
      </c>
      <c r="K2053" s="290" t="s">
        <v>7864</v>
      </c>
      <c r="L2053" s="290" t="s">
        <v>4623</v>
      </c>
      <c r="M2053" s="290" t="s">
        <v>4623</v>
      </c>
      <c r="N2053" s="290" t="s">
        <v>4671</v>
      </c>
      <c r="O2053" s="290" t="s">
        <v>4671</v>
      </c>
      <c r="P2053" s="290" t="s">
        <v>999</v>
      </c>
      <c r="Q2053" s="291" t="s">
        <v>4623</v>
      </c>
      <c r="R2053" s="276"/>
      <c r="S2053" s="277">
        <f>IF(OR(C2053="",C2053=T$4),NA(),MATCH($B2053&amp;$C2053,'Smelter Reference List'!$J:$J,0))</f>
        <v>442</v>
      </c>
      <c r="T2053" s="278"/>
      <c r="U2053" s="278"/>
      <c r="V2053" s="278"/>
      <c r="W2053" s="278"/>
    </row>
    <row r="2054" spans="1:23" s="269" customFormat="1" ht="20.25">
      <c r="A2054" s="267"/>
      <c r="B2054" s="275" t="s">
        <v>2437</v>
      </c>
      <c r="C2054" s="275" t="s">
        <v>3831</v>
      </c>
      <c r="D2054" s="168" t="s">
        <v>7515</v>
      </c>
      <c r="E2054" s="168" t="s">
        <v>1867</v>
      </c>
      <c r="F2054" s="168" t="s">
        <v>4623</v>
      </c>
      <c r="G2054" s="168" t="s">
        <v>4623</v>
      </c>
      <c r="H2054" s="292" t="s">
        <v>7865</v>
      </c>
      <c r="I2054" s="293" t="s">
        <v>7866</v>
      </c>
      <c r="J2054" s="293" t="s">
        <v>7867</v>
      </c>
      <c r="K2054" s="290" t="s">
        <v>7868</v>
      </c>
      <c r="L2054" s="290" t="s">
        <v>4623</v>
      </c>
      <c r="M2054" s="290" t="s">
        <v>4623</v>
      </c>
      <c r="N2054" s="290" t="s">
        <v>4623</v>
      </c>
      <c r="O2054" s="290" t="s">
        <v>4623</v>
      </c>
      <c r="P2054" s="290" t="s">
        <v>999</v>
      </c>
      <c r="Q2054" s="291" t="s">
        <v>4623</v>
      </c>
      <c r="R2054" s="276"/>
      <c r="S2054" s="277">
        <f>IF(OR(C2054="",C2054=T$4),NA(),MATCH($B2054&amp;$C2054,'Smelter Reference List'!$J:$J,0))</f>
        <v>442</v>
      </c>
      <c r="T2054" s="278"/>
      <c r="U2054" s="278"/>
      <c r="V2054" s="278"/>
      <c r="W2054" s="278"/>
    </row>
    <row r="2055" spans="1:23" s="269" customFormat="1" ht="20.25">
      <c r="A2055" s="267"/>
      <c r="B2055" s="275" t="s">
        <v>2437</v>
      </c>
      <c r="C2055" s="275" t="s">
        <v>3831</v>
      </c>
      <c r="D2055" s="168" t="s">
        <v>7869</v>
      </c>
      <c r="E2055" s="168" t="s">
        <v>1867</v>
      </c>
      <c r="F2055" s="168" t="s">
        <v>4623</v>
      </c>
      <c r="G2055" s="168" t="s">
        <v>4623</v>
      </c>
      <c r="H2055" s="292" t="s">
        <v>4623</v>
      </c>
      <c r="I2055" s="293" t="s">
        <v>4623</v>
      </c>
      <c r="J2055" s="293" t="s">
        <v>4623</v>
      </c>
      <c r="K2055" s="290" t="s">
        <v>4623</v>
      </c>
      <c r="L2055" s="290" t="s">
        <v>4623</v>
      </c>
      <c r="M2055" s="290" t="s">
        <v>6377</v>
      </c>
      <c r="N2055" s="290" t="s">
        <v>5000</v>
      </c>
      <c r="O2055" s="290" t="s">
        <v>5000</v>
      </c>
      <c r="P2055" s="290" t="s">
        <v>999</v>
      </c>
      <c r="Q2055" s="291" t="s">
        <v>4623</v>
      </c>
      <c r="R2055" s="276"/>
      <c r="S2055" s="277">
        <f>IF(OR(C2055="",C2055=T$4),NA(),MATCH($B2055&amp;$C2055,'Smelter Reference List'!$J:$J,0))</f>
        <v>442</v>
      </c>
      <c r="T2055" s="278"/>
      <c r="U2055" s="278"/>
      <c r="V2055" s="278"/>
      <c r="W2055" s="278"/>
    </row>
    <row r="2056" spans="1:23" s="269" customFormat="1" ht="20.25">
      <c r="A2056" s="267"/>
      <c r="B2056" s="275" t="s">
        <v>2437</v>
      </c>
      <c r="C2056" s="275" t="s">
        <v>3831</v>
      </c>
      <c r="D2056" s="168" t="s">
        <v>7870</v>
      </c>
      <c r="E2056" s="168" t="s">
        <v>1867</v>
      </c>
      <c r="F2056" s="168" t="s">
        <v>4623</v>
      </c>
      <c r="G2056" s="168" t="s">
        <v>4623</v>
      </c>
      <c r="H2056" s="292" t="s">
        <v>4623</v>
      </c>
      <c r="I2056" s="293" t="s">
        <v>4623</v>
      </c>
      <c r="J2056" s="293" t="s">
        <v>4623</v>
      </c>
      <c r="K2056" s="290" t="s">
        <v>4623</v>
      </c>
      <c r="L2056" s="290" t="s">
        <v>4623</v>
      </c>
      <c r="M2056" s="290" t="s">
        <v>4623</v>
      </c>
      <c r="N2056" s="290" t="s">
        <v>4623</v>
      </c>
      <c r="O2056" s="290" t="s">
        <v>4623</v>
      </c>
      <c r="P2056" s="290" t="s">
        <v>999</v>
      </c>
      <c r="Q2056" s="291" t="s">
        <v>4623</v>
      </c>
      <c r="R2056" s="276"/>
      <c r="S2056" s="277">
        <f>IF(OR(C2056="",C2056=T$4),NA(),MATCH($B2056&amp;$C2056,'Smelter Reference List'!$J:$J,0))</f>
        <v>442</v>
      </c>
      <c r="T2056" s="278"/>
      <c r="U2056" s="278"/>
      <c r="V2056" s="278"/>
      <c r="W2056" s="278"/>
    </row>
    <row r="2057" spans="1:23" s="269" customFormat="1" ht="20.25">
      <c r="A2057" s="267"/>
      <c r="B2057" s="275" t="s">
        <v>2437</v>
      </c>
      <c r="C2057" s="275" t="s">
        <v>3831</v>
      </c>
      <c r="D2057" s="168" t="s">
        <v>7787</v>
      </c>
      <c r="E2057" s="168" t="s">
        <v>1867</v>
      </c>
      <c r="F2057" s="168" t="s">
        <v>4623</v>
      </c>
      <c r="G2057" s="168" t="s">
        <v>4623</v>
      </c>
      <c r="H2057" s="292" t="s">
        <v>7871</v>
      </c>
      <c r="I2057" s="293" t="s">
        <v>4623</v>
      </c>
      <c r="J2057" s="293" t="s">
        <v>4623</v>
      </c>
      <c r="K2057" s="290" t="s">
        <v>7872</v>
      </c>
      <c r="L2057" s="290" t="s">
        <v>7873</v>
      </c>
      <c r="M2057" s="290" t="s">
        <v>4623</v>
      </c>
      <c r="N2057" s="290" t="s">
        <v>4623</v>
      </c>
      <c r="O2057" s="290" t="s">
        <v>4623</v>
      </c>
      <c r="P2057" s="290" t="s">
        <v>999</v>
      </c>
      <c r="Q2057" s="291" t="s">
        <v>4623</v>
      </c>
      <c r="R2057" s="276"/>
      <c r="S2057" s="277">
        <f>IF(OR(C2057="",C2057=T$4),NA(),MATCH($B2057&amp;$C2057,'Smelter Reference List'!$J:$J,0))</f>
        <v>442</v>
      </c>
      <c r="T2057" s="278"/>
      <c r="U2057" s="278"/>
      <c r="V2057" s="278"/>
      <c r="W2057" s="278"/>
    </row>
    <row r="2058" spans="1:23" s="269" customFormat="1" ht="20.25">
      <c r="A2058" s="267"/>
      <c r="B2058" s="275" t="s">
        <v>2437</v>
      </c>
      <c r="C2058" s="275" t="s">
        <v>3831</v>
      </c>
      <c r="D2058" s="168" t="s">
        <v>7874</v>
      </c>
      <c r="E2058" s="168" t="s">
        <v>1867</v>
      </c>
      <c r="F2058" s="168" t="s">
        <v>4623</v>
      </c>
      <c r="G2058" s="168" t="s">
        <v>4623</v>
      </c>
      <c r="H2058" s="292" t="s">
        <v>7875</v>
      </c>
      <c r="I2058" s="293" t="s">
        <v>7876</v>
      </c>
      <c r="J2058" s="293" t="s">
        <v>4792</v>
      </c>
      <c r="K2058" s="290" t="s">
        <v>5589</v>
      </c>
      <c r="L2058" s="290" t="s">
        <v>5589</v>
      </c>
      <c r="M2058" s="290" t="s">
        <v>4667</v>
      </c>
      <c r="N2058" s="290" t="s">
        <v>4623</v>
      </c>
      <c r="O2058" s="290" t="s">
        <v>4623</v>
      </c>
      <c r="P2058" s="290" t="s">
        <v>999</v>
      </c>
      <c r="Q2058" s="291" t="s">
        <v>4623</v>
      </c>
      <c r="R2058" s="276"/>
      <c r="S2058" s="277">
        <f>IF(OR(C2058="",C2058=T$4),NA(),MATCH($B2058&amp;$C2058,'Smelter Reference List'!$J:$J,0))</f>
        <v>442</v>
      </c>
      <c r="T2058" s="278"/>
      <c r="U2058" s="278"/>
      <c r="V2058" s="278"/>
      <c r="W2058" s="278"/>
    </row>
    <row r="2059" spans="1:23" s="269" customFormat="1" ht="20.25">
      <c r="A2059" s="267"/>
      <c r="B2059" s="275" t="s">
        <v>2437</v>
      </c>
      <c r="C2059" s="275" t="s">
        <v>3831</v>
      </c>
      <c r="D2059" s="168" t="s">
        <v>5943</v>
      </c>
      <c r="E2059" s="168" t="s">
        <v>1867</v>
      </c>
      <c r="F2059" s="168" t="s">
        <v>4623</v>
      </c>
      <c r="G2059" s="168" t="s">
        <v>4623</v>
      </c>
      <c r="H2059" s="292" t="s">
        <v>4623</v>
      </c>
      <c r="I2059" s="293" t="s">
        <v>4623</v>
      </c>
      <c r="J2059" s="293" t="s">
        <v>4623</v>
      </c>
      <c r="K2059" s="290" t="s">
        <v>4623</v>
      </c>
      <c r="L2059" s="290" t="s">
        <v>4623</v>
      </c>
      <c r="M2059" s="290" t="s">
        <v>4623</v>
      </c>
      <c r="N2059" s="290" t="s">
        <v>4623</v>
      </c>
      <c r="O2059" s="290" t="s">
        <v>4623</v>
      </c>
      <c r="P2059" s="290" t="s">
        <v>999</v>
      </c>
      <c r="Q2059" s="291" t="s">
        <v>4623</v>
      </c>
      <c r="R2059" s="276"/>
      <c r="S2059" s="277">
        <f>IF(OR(C2059="",C2059=T$4),NA(),MATCH($B2059&amp;$C2059,'Smelter Reference List'!$J:$J,0))</f>
        <v>442</v>
      </c>
      <c r="T2059" s="278"/>
      <c r="U2059" s="278"/>
      <c r="V2059" s="278"/>
      <c r="W2059" s="278"/>
    </row>
    <row r="2060" spans="1:23" s="269" customFormat="1" ht="20.25">
      <c r="A2060" s="267"/>
      <c r="B2060" s="275" t="s">
        <v>2437</v>
      </c>
      <c r="C2060" s="275" t="s">
        <v>3831</v>
      </c>
      <c r="D2060" s="168" t="s">
        <v>7877</v>
      </c>
      <c r="E2060" s="168" t="s">
        <v>1867</v>
      </c>
      <c r="F2060" s="168" t="s">
        <v>4623</v>
      </c>
      <c r="G2060" s="168" t="s">
        <v>4623</v>
      </c>
      <c r="H2060" s="292" t="s">
        <v>7878</v>
      </c>
      <c r="I2060" s="293" t="s">
        <v>7862</v>
      </c>
      <c r="J2060" s="293" t="s">
        <v>7863</v>
      </c>
      <c r="K2060" s="290" t="s">
        <v>7879</v>
      </c>
      <c r="L2060" s="290" t="s">
        <v>4623</v>
      </c>
      <c r="M2060" s="290" t="s">
        <v>4623</v>
      </c>
      <c r="N2060" s="290" t="s">
        <v>4671</v>
      </c>
      <c r="O2060" s="290" t="s">
        <v>4671</v>
      </c>
      <c r="P2060" s="290" t="s">
        <v>998</v>
      </c>
      <c r="Q2060" s="291" t="s">
        <v>4623</v>
      </c>
      <c r="R2060" s="276"/>
      <c r="S2060" s="277">
        <f>IF(OR(C2060="",C2060=T$4),NA(),MATCH($B2060&amp;$C2060,'Smelter Reference List'!$J:$J,0))</f>
        <v>442</v>
      </c>
      <c r="T2060" s="278"/>
      <c r="U2060" s="278"/>
      <c r="V2060" s="278"/>
      <c r="W2060" s="278"/>
    </row>
    <row r="2061" spans="1:23" s="269" customFormat="1" ht="20.25">
      <c r="A2061" s="267"/>
      <c r="B2061" s="275" t="s">
        <v>2437</v>
      </c>
      <c r="C2061" s="275" t="s">
        <v>3831</v>
      </c>
      <c r="D2061" s="168" t="s">
        <v>7880</v>
      </c>
      <c r="E2061" s="168" t="s">
        <v>1867</v>
      </c>
      <c r="F2061" s="168" t="s">
        <v>4623</v>
      </c>
      <c r="G2061" s="168" t="s">
        <v>4623</v>
      </c>
      <c r="H2061" s="292" t="s">
        <v>7881</v>
      </c>
      <c r="I2061" s="293" t="s">
        <v>3325</v>
      </c>
      <c r="J2061" s="293" t="s">
        <v>3326</v>
      </c>
      <c r="K2061" s="290" t="s">
        <v>7882</v>
      </c>
      <c r="L2061" s="290" t="s">
        <v>7883</v>
      </c>
      <c r="M2061" s="290" t="s">
        <v>4623</v>
      </c>
      <c r="N2061" s="290" t="s">
        <v>4623</v>
      </c>
      <c r="O2061" s="290" t="s">
        <v>4623</v>
      </c>
      <c r="P2061" s="290" t="s">
        <v>999</v>
      </c>
      <c r="Q2061" s="291" t="s">
        <v>4623</v>
      </c>
      <c r="R2061" s="276"/>
      <c r="S2061" s="277">
        <f>IF(OR(C2061="",C2061=T$4),NA(),MATCH($B2061&amp;$C2061,'Smelter Reference List'!$J:$J,0))</f>
        <v>442</v>
      </c>
      <c r="T2061" s="278"/>
      <c r="U2061" s="278"/>
      <c r="V2061" s="278"/>
      <c r="W2061" s="278"/>
    </row>
    <row r="2062" spans="1:23" s="269" customFormat="1" ht="20.25">
      <c r="A2062" s="267"/>
      <c r="B2062" s="275" t="s">
        <v>2437</v>
      </c>
      <c r="C2062" s="275" t="s">
        <v>3831</v>
      </c>
      <c r="D2062" s="168" t="s">
        <v>7884</v>
      </c>
      <c r="E2062" s="168" t="s">
        <v>1867</v>
      </c>
      <c r="F2062" s="168" t="s">
        <v>4623</v>
      </c>
      <c r="G2062" s="168" t="s">
        <v>4623</v>
      </c>
      <c r="H2062" s="292" t="s">
        <v>4623</v>
      </c>
      <c r="I2062" s="293" t="s">
        <v>4623</v>
      </c>
      <c r="J2062" s="293" t="s">
        <v>4623</v>
      </c>
      <c r="K2062" s="290" t="s">
        <v>4623</v>
      </c>
      <c r="L2062" s="290" t="s">
        <v>4623</v>
      </c>
      <c r="M2062" s="290" t="s">
        <v>6377</v>
      </c>
      <c r="N2062" s="290" t="s">
        <v>5000</v>
      </c>
      <c r="O2062" s="290" t="s">
        <v>5000</v>
      </c>
      <c r="P2062" s="290" t="s">
        <v>999</v>
      </c>
      <c r="Q2062" s="291" t="s">
        <v>4623</v>
      </c>
      <c r="R2062" s="276"/>
      <c r="S2062" s="277">
        <f>IF(OR(C2062="",C2062=T$4),NA(),MATCH($B2062&amp;$C2062,'Smelter Reference List'!$J:$J,0))</f>
        <v>442</v>
      </c>
      <c r="T2062" s="278"/>
      <c r="U2062" s="278"/>
      <c r="V2062" s="278"/>
      <c r="W2062" s="278"/>
    </row>
    <row r="2063" spans="1:23" s="269" customFormat="1" ht="20.25">
      <c r="A2063" s="267"/>
      <c r="B2063" s="275" t="s">
        <v>2437</v>
      </c>
      <c r="C2063" s="275" t="s">
        <v>3831</v>
      </c>
      <c r="D2063" s="168" t="s">
        <v>7885</v>
      </c>
      <c r="E2063" s="168" t="s">
        <v>1867</v>
      </c>
      <c r="F2063" s="168" t="s">
        <v>4623</v>
      </c>
      <c r="G2063" s="168" t="s">
        <v>4623</v>
      </c>
      <c r="H2063" s="292" t="s">
        <v>7886</v>
      </c>
      <c r="I2063" s="293" t="s">
        <v>7887</v>
      </c>
      <c r="J2063" s="293" t="s">
        <v>7888</v>
      </c>
      <c r="K2063" s="290" t="s">
        <v>7889</v>
      </c>
      <c r="L2063" s="290" t="s">
        <v>7890</v>
      </c>
      <c r="M2063" s="290" t="s">
        <v>7891</v>
      </c>
      <c r="N2063" s="290" t="s">
        <v>4671</v>
      </c>
      <c r="O2063" s="290" t="s">
        <v>4671</v>
      </c>
      <c r="P2063" s="290" t="s">
        <v>998</v>
      </c>
      <c r="Q2063" s="291" t="s">
        <v>4623</v>
      </c>
      <c r="R2063" s="276"/>
      <c r="S2063" s="277">
        <f>IF(OR(C2063="",C2063=T$4),NA(),MATCH($B2063&amp;$C2063,'Smelter Reference List'!$J:$J,0))</f>
        <v>442</v>
      </c>
      <c r="T2063" s="278"/>
      <c r="U2063" s="278"/>
      <c r="V2063" s="278"/>
      <c r="W2063" s="278"/>
    </row>
    <row r="2064" spans="1:23" s="269" customFormat="1" ht="20.25">
      <c r="A2064" s="267"/>
      <c r="B2064" s="275" t="s">
        <v>2437</v>
      </c>
      <c r="C2064" s="275" t="s">
        <v>3831</v>
      </c>
      <c r="D2064" s="168" t="s">
        <v>7257</v>
      </c>
      <c r="E2064" s="168" t="s">
        <v>1867</v>
      </c>
      <c r="F2064" s="168" t="s">
        <v>4623</v>
      </c>
      <c r="G2064" s="168" t="s">
        <v>4623</v>
      </c>
      <c r="H2064" s="292" t="s">
        <v>4623</v>
      </c>
      <c r="I2064" s="293" t="s">
        <v>4623</v>
      </c>
      <c r="J2064" s="293" t="s">
        <v>4623</v>
      </c>
      <c r="K2064" s="290" t="s">
        <v>4623</v>
      </c>
      <c r="L2064" s="290" t="s">
        <v>4623</v>
      </c>
      <c r="M2064" s="290" t="s">
        <v>6377</v>
      </c>
      <c r="N2064" s="290" t="s">
        <v>5000</v>
      </c>
      <c r="O2064" s="290" t="s">
        <v>5000</v>
      </c>
      <c r="P2064" s="290" t="s">
        <v>999</v>
      </c>
      <c r="Q2064" s="291" t="s">
        <v>4623</v>
      </c>
      <c r="R2064" s="276"/>
      <c r="S2064" s="277">
        <f>IF(OR(C2064="",C2064=T$4),NA(),MATCH($B2064&amp;$C2064,'Smelter Reference List'!$J:$J,0))</f>
        <v>442</v>
      </c>
      <c r="T2064" s="278"/>
      <c r="U2064" s="278"/>
      <c r="V2064" s="278"/>
      <c r="W2064" s="278"/>
    </row>
    <row r="2065" spans="1:23" s="269" customFormat="1" ht="20.25">
      <c r="A2065" s="267"/>
      <c r="B2065" s="275" t="s">
        <v>2437</v>
      </c>
      <c r="C2065" s="275" t="s">
        <v>3831</v>
      </c>
      <c r="D2065" s="168" t="s">
        <v>7892</v>
      </c>
      <c r="E2065" s="168" t="s">
        <v>1867</v>
      </c>
      <c r="F2065" s="168" t="s">
        <v>4623</v>
      </c>
      <c r="G2065" s="168" t="s">
        <v>4623</v>
      </c>
      <c r="H2065" s="292" t="s">
        <v>4623</v>
      </c>
      <c r="I2065" s="293" t="s">
        <v>4623</v>
      </c>
      <c r="J2065" s="293" t="s">
        <v>4623</v>
      </c>
      <c r="K2065" s="290" t="s">
        <v>4623</v>
      </c>
      <c r="L2065" s="290" t="s">
        <v>4623</v>
      </c>
      <c r="M2065" s="290" t="s">
        <v>4623</v>
      </c>
      <c r="N2065" s="290" t="s">
        <v>4623</v>
      </c>
      <c r="O2065" s="290" t="s">
        <v>4623</v>
      </c>
      <c r="P2065" s="290" t="s">
        <v>999</v>
      </c>
      <c r="Q2065" s="291" t="s">
        <v>4623</v>
      </c>
      <c r="R2065" s="276"/>
      <c r="S2065" s="277">
        <f>IF(OR(C2065="",C2065=T$4),NA(),MATCH($B2065&amp;$C2065,'Smelter Reference List'!$J:$J,0))</f>
        <v>442</v>
      </c>
      <c r="T2065" s="278"/>
      <c r="U2065" s="278"/>
      <c r="V2065" s="278"/>
      <c r="W2065" s="278"/>
    </row>
    <row r="2066" spans="1:23" s="269" customFormat="1" ht="20.25">
      <c r="A2066" s="267"/>
      <c r="B2066" s="275" t="s">
        <v>2437</v>
      </c>
      <c r="C2066" s="275" t="s">
        <v>3831</v>
      </c>
      <c r="D2066" s="168" t="s">
        <v>7261</v>
      </c>
      <c r="E2066" s="168" t="s">
        <v>1867</v>
      </c>
      <c r="F2066" s="168" t="s">
        <v>4623</v>
      </c>
      <c r="G2066" s="168" t="s">
        <v>4623</v>
      </c>
      <c r="H2066" s="292" t="s">
        <v>4623</v>
      </c>
      <c r="I2066" s="293" t="s">
        <v>4623</v>
      </c>
      <c r="J2066" s="293" t="s">
        <v>4623</v>
      </c>
      <c r="K2066" s="290" t="s">
        <v>4623</v>
      </c>
      <c r="L2066" s="290" t="s">
        <v>4623</v>
      </c>
      <c r="M2066" s="290" t="s">
        <v>4623</v>
      </c>
      <c r="N2066" s="290" t="s">
        <v>4623</v>
      </c>
      <c r="O2066" s="290" t="s">
        <v>4623</v>
      </c>
      <c r="P2066" s="290" t="s">
        <v>999</v>
      </c>
      <c r="Q2066" s="291" t="s">
        <v>4623</v>
      </c>
      <c r="R2066" s="276"/>
      <c r="S2066" s="277">
        <f>IF(OR(C2066="",C2066=T$4),NA(),MATCH($B2066&amp;$C2066,'Smelter Reference List'!$J:$J,0))</f>
        <v>442</v>
      </c>
      <c r="T2066" s="278"/>
      <c r="U2066" s="278"/>
      <c r="V2066" s="278"/>
      <c r="W2066" s="278"/>
    </row>
    <row r="2067" spans="1:23" s="269" customFormat="1" ht="20.25">
      <c r="A2067" s="267"/>
      <c r="B2067" s="275" t="s">
        <v>2437</v>
      </c>
      <c r="C2067" s="275" t="s">
        <v>3831</v>
      </c>
      <c r="D2067" s="168" t="s">
        <v>7893</v>
      </c>
      <c r="E2067" s="168" t="s">
        <v>1867</v>
      </c>
      <c r="F2067" s="168" t="s">
        <v>4623</v>
      </c>
      <c r="G2067" s="168" t="s">
        <v>4623</v>
      </c>
      <c r="H2067" s="292" t="s">
        <v>4623</v>
      </c>
      <c r="I2067" s="293" t="s">
        <v>4623</v>
      </c>
      <c r="J2067" s="293" t="s">
        <v>4623</v>
      </c>
      <c r="K2067" s="290" t="s">
        <v>4623</v>
      </c>
      <c r="L2067" s="290" t="s">
        <v>4623</v>
      </c>
      <c r="M2067" s="290" t="s">
        <v>4623</v>
      </c>
      <c r="N2067" s="290" t="s">
        <v>4623</v>
      </c>
      <c r="O2067" s="290" t="s">
        <v>4623</v>
      </c>
      <c r="P2067" s="290" t="s">
        <v>999</v>
      </c>
      <c r="Q2067" s="291" t="s">
        <v>4623</v>
      </c>
      <c r="R2067" s="276"/>
      <c r="S2067" s="277">
        <f>IF(OR(C2067="",C2067=T$4),NA(),MATCH($B2067&amp;$C2067,'Smelter Reference List'!$J:$J,0))</f>
        <v>442</v>
      </c>
      <c r="T2067" s="278"/>
      <c r="U2067" s="278"/>
      <c r="V2067" s="278"/>
      <c r="W2067" s="278"/>
    </row>
    <row r="2068" spans="1:23" s="269" customFormat="1" ht="20.25">
      <c r="A2068" s="267"/>
      <c r="B2068" s="275" t="s">
        <v>2437</v>
      </c>
      <c r="C2068" s="275" t="s">
        <v>3831</v>
      </c>
      <c r="D2068" s="168" t="s">
        <v>7894</v>
      </c>
      <c r="E2068" s="168" t="s">
        <v>1867</v>
      </c>
      <c r="F2068" s="168" t="s">
        <v>4623</v>
      </c>
      <c r="G2068" s="168" t="s">
        <v>4623</v>
      </c>
      <c r="H2068" s="292" t="s">
        <v>4623</v>
      </c>
      <c r="I2068" s="293" t="s">
        <v>4623</v>
      </c>
      <c r="J2068" s="293" t="s">
        <v>4623</v>
      </c>
      <c r="K2068" s="290" t="s">
        <v>4623</v>
      </c>
      <c r="L2068" s="290" t="s">
        <v>4623</v>
      </c>
      <c r="M2068" s="290" t="s">
        <v>4623</v>
      </c>
      <c r="N2068" s="290" t="s">
        <v>4623</v>
      </c>
      <c r="O2068" s="290" t="s">
        <v>4623</v>
      </c>
      <c r="P2068" s="290" t="s">
        <v>999</v>
      </c>
      <c r="Q2068" s="291" t="s">
        <v>4623</v>
      </c>
      <c r="R2068" s="276"/>
      <c r="S2068" s="277">
        <f>IF(OR(C2068="",C2068=T$4),NA(),MATCH($B2068&amp;$C2068,'Smelter Reference List'!$J:$J,0))</f>
        <v>442</v>
      </c>
      <c r="T2068" s="278"/>
      <c r="U2068" s="278"/>
      <c r="V2068" s="278"/>
      <c r="W2068" s="278"/>
    </row>
    <row r="2069" spans="1:23" s="269" customFormat="1" ht="20.25">
      <c r="A2069" s="267"/>
      <c r="B2069" s="275" t="s">
        <v>2437</v>
      </c>
      <c r="C2069" s="275" t="s">
        <v>3831</v>
      </c>
      <c r="D2069" s="168" t="s">
        <v>7895</v>
      </c>
      <c r="E2069" s="168" t="s">
        <v>1867</v>
      </c>
      <c r="F2069" s="168" t="s">
        <v>4623</v>
      </c>
      <c r="G2069" s="168" t="s">
        <v>4623</v>
      </c>
      <c r="H2069" s="292" t="s">
        <v>4623</v>
      </c>
      <c r="I2069" s="293" t="s">
        <v>4623</v>
      </c>
      <c r="J2069" s="293" t="s">
        <v>4623</v>
      </c>
      <c r="K2069" s="290" t="s">
        <v>4623</v>
      </c>
      <c r="L2069" s="290" t="s">
        <v>4623</v>
      </c>
      <c r="M2069" s="290" t="s">
        <v>4623</v>
      </c>
      <c r="N2069" s="290" t="s">
        <v>4623</v>
      </c>
      <c r="O2069" s="290" t="s">
        <v>4623</v>
      </c>
      <c r="P2069" s="290" t="s">
        <v>999</v>
      </c>
      <c r="Q2069" s="291" t="s">
        <v>4623</v>
      </c>
      <c r="R2069" s="276"/>
      <c r="S2069" s="277">
        <f>IF(OR(C2069="",C2069=T$4),NA(),MATCH($B2069&amp;$C2069,'Smelter Reference List'!$J:$J,0))</f>
        <v>442</v>
      </c>
      <c r="T2069" s="278"/>
      <c r="U2069" s="278"/>
      <c r="V2069" s="278"/>
      <c r="W2069" s="278"/>
    </row>
    <row r="2070" spans="1:23" s="269" customFormat="1" ht="20.25">
      <c r="A2070" s="267"/>
      <c r="B2070" s="275" t="s">
        <v>2437</v>
      </c>
      <c r="C2070" s="275" t="s">
        <v>3831</v>
      </c>
      <c r="D2070" s="168" t="s">
        <v>7158</v>
      </c>
      <c r="E2070" s="168" t="s">
        <v>1867</v>
      </c>
      <c r="F2070" s="168" t="s">
        <v>4623</v>
      </c>
      <c r="G2070" s="168" t="s">
        <v>4623</v>
      </c>
      <c r="H2070" s="292" t="s">
        <v>7896</v>
      </c>
      <c r="I2070" s="293" t="s">
        <v>4623</v>
      </c>
      <c r="J2070" s="293" t="s">
        <v>4623</v>
      </c>
      <c r="K2070" s="290" t="s">
        <v>4623</v>
      </c>
      <c r="L2070" s="290" t="s">
        <v>4623</v>
      </c>
      <c r="M2070" s="290" t="s">
        <v>4623</v>
      </c>
      <c r="N2070" s="290" t="s">
        <v>4623</v>
      </c>
      <c r="O2070" s="290" t="s">
        <v>4623</v>
      </c>
      <c r="P2070" s="290" t="s">
        <v>999</v>
      </c>
      <c r="Q2070" s="291" t="s">
        <v>4623</v>
      </c>
      <c r="R2070" s="276"/>
      <c r="S2070" s="277">
        <f>IF(OR(C2070="",C2070=T$4),NA(),MATCH($B2070&amp;$C2070,'Smelter Reference List'!$J:$J,0))</f>
        <v>442</v>
      </c>
      <c r="T2070" s="278"/>
      <c r="U2070" s="278"/>
      <c r="V2070" s="278"/>
      <c r="W2070" s="278"/>
    </row>
    <row r="2071" spans="1:23" s="269" customFormat="1" ht="20.25">
      <c r="A2071" s="267"/>
      <c r="B2071" s="275" t="s">
        <v>2437</v>
      </c>
      <c r="C2071" s="275" t="s">
        <v>3831</v>
      </c>
      <c r="D2071" s="168" t="s">
        <v>7897</v>
      </c>
      <c r="E2071" s="168" t="s">
        <v>1867</v>
      </c>
      <c r="F2071" s="168" t="s">
        <v>4623</v>
      </c>
      <c r="G2071" s="168" t="s">
        <v>4623</v>
      </c>
      <c r="H2071" s="292" t="s">
        <v>4623</v>
      </c>
      <c r="I2071" s="293" t="s">
        <v>4623</v>
      </c>
      <c r="J2071" s="293" t="s">
        <v>4623</v>
      </c>
      <c r="K2071" s="290" t="s">
        <v>4623</v>
      </c>
      <c r="L2071" s="290" t="s">
        <v>4623</v>
      </c>
      <c r="M2071" s="290" t="s">
        <v>4623</v>
      </c>
      <c r="N2071" s="290" t="s">
        <v>4623</v>
      </c>
      <c r="O2071" s="290" t="s">
        <v>4623</v>
      </c>
      <c r="P2071" s="290" t="s">
        <v>999</v>
      </c>
      <c r="Q2071" s="291" t="s">
        <v>4623</v>
      </c>
      <c r="R2071" s="276"/>
      <c r="S2071" s="277">
        <f>IF(OR(C2071="",C2071=T$4),NA(),MATCH($B2071&amp;$C2071,'Smelter Reference List'!$J:$J,0))</f>
        <v>442</v>
      </c>
      <c r="T2071" s="278"/>
      <c r="U2071" s="278"/>
      <c r="V2071" s="278"/>
      <c r="W2071" s="278"/>
    </row>
    <row r="2072" spans="1:23" s="269" customFormat="1" ht="20.25">
      <c r="A2072" s="267"/>
      <c r="B2072" s="275" t="s">
        <v>2437</v>
      </c>
      <c r="C2072" s="275" t="s">
        <v>3831</v>
      </c>
      <c r="D2072" s="168" t="s">
        <v>7898</v>
      </c>
      <c r="E2072" s="168" t="s">
        <v>1867</v>
      </c>
      <c r="F2072" s="168" t="s">
        <v>4623</v>
      </c>
      <c r="G2072" s="168" t="s">
        <v>4623</v>
      </c>
      <c r="H2072" s="292" t="s">
        <v>4623</v>
      </c>
      <c r="I2072" s="293" t="s">
        <v>4623</v>
      </c>
      <c r="J2072" s="293" t="s">
        <v>4623</v>
      </c>
      <c r="K2072" s="290" t="s">
        <v>4623</v>
      </c>
      <c r="L2072" s="290" t="s">
        <v>4623</v>
      </c>
      <c r="M2072" s="290" t="s">
        <v>4623</v>
      </c>
      <c r="N2072" s="290" t="s">
        <v>4623</v>
      </c>
      <c r="O2072" s="290" t="s">
        <v>4623</v>
      </c>
      <c r="P2072" s="290" t="s">
        <v>999</v>
      </c>
      <c r="Q2072" s="291" t="s">
        <v>4623</v>
      </c>
      <c r="R2072" s="276"/>
      <c r="S2072" s="277">
        <f>IF(OR(C2072="",C2072=T$4),NA(),MATCH($B2072&amp;$C2072,'Smelter Reference List'!$J:$J,0))</f>
        <v>442</v>
      </c>
      <c r="T2072" s="278"/>
      <c r="U2072" s="278"/>
      <c r="V2072" s="278"/>
      <c r="W2072" s="278"/>
    </row>
    <row r="2073" spans="1:23" s="269" customFormat="1" ht="20.25">
      <c r="A2073" s="267"/>
      <c r="B2073" s="275" t="s">
        <v>2437</v>
      </c>
      <c r="C2073" s="275" t="s">
        <v>3831</v>
      </c>
      <c r="D2073" s="168" t="s">
        <v>7899</v>
      </c>
      <c r="E2073" s="168" t="s">
        <v>1867</v>
      </c>
      <c r="F2073" s="168" t="s">
        <v>4623</v>
      </c>
      <c r="G2073" s="168" t="s">
        <v>4623</v>
      </c>
      <c r="H2073" s="292" t="s">
        <v>4623</v>
      </c>
      <c r="I2073" s="293" t="s">
        <v>4623</v>
      </c>
      <c r="J2073" s="293" t="s">
        <v>4623</v>
      </c>
      <c r="K2073" s="290" t="s">
        <v>4623</v>
      </c>
      <c r="L2073" s="290" t="s">
        <v>4623</v>
      </c>
      <c r="M2073" s="290" t="s">
        <v>4623</v>
      </c>
      <c r="N2073" s="290" t="s">
        <v>4623</v>
      </c>
      <c r="O2073" s="290" t="s">
        <v>4623</v>
      </c>
      <c r="P2073" s="290" t="s">
        <v>999</v>
      </c>
      <c r="Q2073" s="291" t="s">
        <v>4623</v>
      </c>
      <c r="R2073" s="276"/>
      <c r="S2073" s="277">
        <f>IF(OR(C2073="",C2073=T$4),NA(),MATCH($B2073&amp;$C2073,'Smelter Reference List'!$J:$J,0))</f>
        <v>442</v>
      </c>
      <c r="T2073" s="278"/>
      <c r="U2073" s="278"/>
      <c r="V2073" s="278"/>
      <c r="W2073" s="278"/>
    </row>
    <row r="2074" spans="1:23" s="269" customFormat="1" ht="20.25">
      <c r="A2074" s="267"/>
      <c r="B2074" s="275" t="s">
        <v>2437</v>
      </c>
      <c r="C2074" s="275" t="s">
        <v>3831</v>
      </c>
      <c r="D2074" s="168" t="s">
        <v>4622</v>
      </c>
      <c r="E2074" s="168" t="s">
        <v>1867</v>
      </c>
      <c r="F2074" s="168" t="s">
        <v>4623</v>
      </c>
      <c r="G2074" s="168" t="s">
        <v>4623</v>
      </c>
      <c r="H2074" s="292" t="s">
        <v>4623</v>
      </c>
      <c r="I2074" s="293" t="s">
        <v>4623</v>
      </c>
      <c r="J2074" s="293" t="s">
        <v>4623</v>
      </c>
      <c r="K2074" s="290" t="s">
        <v>4623</v>
      </c>
      <c r="L2074" s="290" t="s">
        <v>4623</v>
      </c>
      <c r="M2074" s="290" t="s">
        <v>4623</v>
      </c>
      <c r="N2074" s="290" t="s">
        <v>4623</v>
      </c>
      <c r="O2074" s="290" t="s">
        <v>4623</v>
      </c>
      <c r="P2074" s="290" t="s">
        <v>999</v>
      </c>
      <c r="Q2074" s="291" t="s">
        <v>4623</v>
      </c>
      <c r="R2074" s="276"/>
      <c r="S2074" s="277">
        <f>IF(OR(C2074="",C2074=T$4),NA(),MATCH($B2074&amp;$C2074,'Smelter Reference List'!$J:$J,0))</f>
        <v>442</v>
      </c>
      <c r="T2074" s="278"/>
      <c r="U2074" s="278"/>
      <c r="V2074" s="278"/>
      <c r="W2074" s="278"/>
    </row>
    <row r="2075" spans="1:23" s="269" customFormat="1" ht="20.25">
      <c r="A2075" s="267"/>
      <c r="B2075" s="275" t="s">
        <v>2437</v>
      </c>
      <c r="C2075" s="275" t="s">
        <v>3831</v>
      </c>
      <c r="D2075" s="168" t="s">
        <v>7900</v>
      </c>
      <c r="E2075" s="168" t="s">
        <v>1867</v>
      </c>
      <c r="F2075" s="168" t="s">
        <v>4623</v>
      </c>
      <c r="G2075" s="168" t="s">
        <v>4623</v>
      </c>
      <c r="H2075" s="292" t="s">
        <v>4623</v>
      </c>
      <c r="I2075" s="293" t="s">
        <v>4623</v>
      </c>
      <c r="J2075" s="293" t="s">
        <v>4623</v>
      </c>
      <c r="K2075" s="290" t="s">
        <v>4623</v>
      </c>
      <c r="L2075" s="290" t="s">
        <v>4623</v>
      </c>
      <c r="M2075" s="290" t="s">
        <v>4623</v>
      </c>
      <c r="N2075" s="290" t="s">
        <v>4623</v>
      </c>
      <c r="O2075" s="290" t="s">
        <v>4623</v>
      </c>
      <c r="P2075" s="290" t="s">
        <v>999</v>
      </c>
      <c r="Q2075" s="291" t="s">
        <v>4623</v>
      </c>
      <c r="R2075" s="276"/>
      <c r="S2075" s="277">
        <f>IF(OR(C2075="",C2075=T$4),NA(),MATCH($B2075&amp;$C2075,'Smelter Reference List'!$J:$J,0))</f>
        <v>442</v>
      </c>
      <c r="T2075" s="278"/>
      <c r="U2075" s="278"/>
      <c r="V2075" s="278"/>
      <c r="W2075" s="278"/>
    </row>
    <row r="2076" spans="1:23" s="269" customFormat="1" ht="20.25">
      <c r="A2076" s="267"/>
      <c r="B2076" s="275" t="s">
        <v>2437</v>
      </c>
      <c r="C2076" s="275" t="s">
        <v>3831</v>
      </c>
      <c r="D2076" s="168" t="s">
        <v>7901</v>
      </c>
      <c r="E2076" s="168" t="s">
        <v>1867</v>
      </c>
      <c r="F2076" s="168" t="s">
        <v>4623</v>
      </c>
      <c r="G2076" s="168" t="s">
        <v>4623</v>
      </c>
      <c r="H2076" s="292" t="s">
        <v>4623</v>
      </c>
      <c r="I2076" s="293" t="s">
        <v>4623</v>
      </c>
      <c r="J2076" s="293" t="s">
        <v>4623</v>
      </c>
      <c r="K2076" s="290" t="s">
        <v>4623</v>
      </c>
      <c r="L2076" s="290" t="s">
        <v>4623</v>
      </c>
      <c r="M2076" s="290" t="s">
        <v>4623</v>
      </c>
      <c r="N2076" s="290" t="s">
        <v>4623</v>
      </c>
      <c r="O2076" s="290" t="s">
        <v>4623</v>
      </c>
      <c r="P2076" s="290" t="s">
        <v>999</v>
      </c>
      <c r="Q2076" s="291" t="s">
        <v>4623</v>
      </c>
      <c r="R2076" s="276"/>
      <c r="S2076" s="277">
        <f>IF(OR(C2076="",C2076=T$4),NA(),MATCH($B2076&amp;$C2076,'Smelter Reference List'!$J:$J,0))</f>
        <v>442</v>
      </c>
      <c r="T2076" s="278"/>
      <c r="U2076" s="278"/>
      <c r="V2076" s="278"/>
      <c r="W2076" s="278"/>
    </row>
    <row r="2077" spans="1:23" s="269" customFormat="1" ht="20.25">
      <c r="A2077" s="267"/>
      <c r="B2077" s="275" t="s">
        <v>2437</v>
      </c>
      <c r="C2077" s="275" t="s">
        <v>3831</v>
      </c>
      <c r="D2077" s="168" t="s">
        <v>7902</v>
      </c>
      <c r="E2077" s="168" t="s">
        <v>1867</v>
      </c>
      <c r="F2077" s="168" t="s">
        <v>4623</v>
      </c>
      <c r="G2077" s="168" t="s">
        <v>4623</v>
      </c>
      <c r="H2077" s="292" t="s">
        <v>4623</v>
      </c>
      <c r="I2077" s="293" t="s">
        <v>4623</v>
      </c>
      <c r="J2077" s="293" t="s">
        <v>4623</v>
      </c>
      <c r="K2077" s="290" t="s">
        <v>4623</v>
      </c>
      <c r="L2077" s="290" t="s">
        <v>4623</v>
      </c>
      <c r="M2077" s="290" t="s">
        <v>4623</v>
      </c>
      <c r="N2077" s="290" t="s">
        <v>4623</v>
      </c>
      <c r="O2077" s="290" t="s">
        <v>4623</v>
      </c>
      <c r="P2077" s="290" t="s">
        <v>999</v>
      </c>
      <c r="Q2077" s="291" t="s">
        <v>4623</v>
      </c>
      <c r="R2077" s="276"/>
      <c r="S2077" s="277">
        <f>IF(OR(C2077="",C2077=T$4),NA(),MATCH($B2077&amp;$C2077,'Smelter Reference List'!$J:$J,0))</f>
        <v>442</v>
      </c>
      <c r="T2077" s="278"/>
      <c r="U2077" s="278"/>
      <c r="V2077" s="278"/>
      <c r="W2077" s="278"/>
    </row>
    <row r="2078" spans="1:23" s="269" customFormat="1" ht="20.25">
      <c r="A2078" s="267"/>
      <c r="B2078" s="275" t="s">
        <v>2437</v>
      </c>
      <c r="C2078" s="275" t="s">
        <v>3831</v>
      </c>
      <c r="D2078" s="168" t="s">
        <v>7903</v>
      </c>
      <c r="E2078" s="168" t="s">
        <v>1867</v>
      </c>
      <c r="F2078" s="168" t="s">
        <v>4623</v>
      </c>
      <c r="G2078" s="168" t="s">
        <v>4623</v>
      </c>
      <c r="H2078" s="292" t="s">
        <v>4623</v>
      </c>
      <c r="I2078" s="293" t="s">
        <v>4623</v>
      </c>
      <c r="J2078" s="293" t="s">
        <v>4623</v>
      </c>
      <c r="K2078" s="290" t="s">
        <v>4623</v>
      </c>
      <c r="L2078" s="290" t="s">
        <v>4623</v>
      </c>
      <c r="M2078" s="290" t="s">
        <v>6377</v>
      </c>
      <c r="N2078" s="290" t="s">
        <v>5000</v>
      </c>
      <c r="O2078" s="290" t="s">
        <v>5000</v>
      </c>
      <c r="P2078" s="290" t="s">
        <v>999</v>
      </c>
      <c r="Q2078" s="291" t="s">
        <v>4623</v>
      </c>
      <c r="R2078" s="276"/>
      <c r="S2078" s="277">
        <f>IF(OR(C2078="",C2078=T$4),NA(),MATCH($B2078&amp;$C2078,'Smelter Reference List'!$J:$J,0))</f>
        <v>442</v>
      </c>
      <c r="T2078" s="278"/>
      <c r="U2078" s="278"/>
      <c r="V2078" s="278"/>
      <c r="W2078" s="278"/>
    </row>
    <row r="2079" spans="1:23" s="269" customFormat="1" ht="20.25">
      <c r="A2079" s="267"/>
      <c r="B2079" s="275" t="s">
        <v>2437</v>
      </c>
      <c r="C2079" s="275" t="s">
        <v>3831</v>
      </c>
      <c r="D2079" s="168" t="s">
        <v>5967</v>
      </c>
      <c r="E2079" s="168" t="s">
        <v>1867</v>
      </c>
      <c r="F2079" s="168" t="s">
        <v>4623</v>
      </c>
      <c r="G2079" s="168" t="s">
        <v>4623</v>
      </c>
      <c r="H2079" s="292" t="s">
        <v>4623</v>
      </c>
      <c r="I2079" s="293" t="s">
        <v>4623</v>
      </c>
      <c r="J2079" s="293" t="s">
        <v>4623</v>
      </c>
      <c r="K2079" s="290" t="s">
        <v>4623</v>
      </c>
      <c r="L2079" s="290" t="s">
        <v>4623</v>
      </c>
      <c r="M2079" s="290" t="s">
        <v>4623</v>
      </c>
      <c r="N2079" s="290" t="s">
        <v>4623</v>
      </c>
      <c r="O2079" s="290" t="s">
        <v>4623</v>
      </c>
      <c r="P2079" s="290" t="s">
        <v>999</v>
      </c>
      <c r="Q2079" s="291" t="s">
        <v>4623</v>
      </c>
      <c r="R2079" s="276"/>
      <c r="S2079" s="277">
        <f>IF(OR(C2079="",C2079=T$4),NA(),MATCH($B2079&amp;$C2079,'Smelter Reference List'!$J:$J,0))</f>
        <v>442</v>
      </c>
      <c r="T2079" s="278"/>
      <c r="U2079" s="278"/>
      <c r="V2079" s="278"/>
      <c r="W2079" s="278"/>
    </row>
    <row r="2080" spans="1:23" s="269" customFormat="1" ht="20.25">
      <c r="A2080" s="267"/>
      <c r="B2080" s="275" t="s">
        <v>2437</v>
      </c>
      <c r="C2080" s="275" t="s">
        <v>3831</v>
      </c>
      <c r="D2080" s="168" t="s">
        <v>7503</v>
      </c>
      <c r="E2080" s="168" t="s">
        <v>1867</v>
      </c>
      <c r="F2080" s="168" t="s">
        <v>4623</v>
      </c>
      <c r="G2080" s="168" t="s">
        <v>4623</v>
      </c>
      <c r="H2080" s="292" t="s">
        <v>7904</v>
      </c>
      <c r="I2080" s="293" t="s">
        <v>7905</v>
      </c>
      <c r="J2080" s="293" t="s">
        <v>5960</v>
      </c>
      <c r="K2080" s="290" t="s">
        <v>7906</v>
      </c>
      <c r="L2080" s="290" t="s">
        <v>7907</v>
      </c>
      <c r="M2080" s="290" t="s">
        <v>4623</v>
      </c>
      <c r="N2080" s="290" t="s">
        <v>4623</v>
      </c>
      <c r="O2080" s="290" t="s">
        <v>4623</v>
      </c>
      <c r="P2080" s="290" t="s">
        <v>999</v>
      </c>
      <c r="Q2080" s="291" t="s">
        <v>4623</v>
      </c>
      <c r="R2080" s="276"/>
      <c r="S2080" s="277">
        <f>IF(OR(C2080="",C2080=T$4),NA(),MATCH($B2080&amp;$C2080,'Smelter Reference List'!$J:$J,0))</f>
        <v>442</v>
      </c>
      <c r="T2080" s="278"/>
      <c r="U2080" s="278"/>
      <c r="V2080" s="278"/>
      <c r="W2080" s="278"/>
    </row>
    <row r="2081" spans="1:23" s="269" customFormat="1" ht="20.25">
      <c r="A2081" s="267"/>
      <c r="B2081" s="275" t="s">
        <v>2437</v>
      </c>
      <c r="C2081" s="275" t="s">
        <v>3831</v>
      </c>
      <c r="D2081" s="168" t="s">
        <v>7908</v>
      </c>
      <c r="E2081" s="168" t="s">
        <v>1867</v>
      </c>
      <c r="F2081" s="168" t="s">
        <v>4623</v>
      </c>
      <c r="G2081" s="168" t="s">
        <v>4623</v>
      </c>
      <c r="H2081" s="292" t="s">
        <v>4623</v>
      </c>
      <c r="I2081" s="293" t="s">
        <v>4623</v>
      </c>
      <c r="J2081" s="293" t="s">
        <v>4623</v>
      </c>
      <c r="K2081" s="290" t="s">
        <v>4623</v>
      </c>
      <c r="L2081" s="290" t="s">
        <v>4623</v>
      </c>
      <c r="M2081" s="290" t="s">
        <v>6377</v>
      </c>
      <c r="N2081" s="290" t="s">
        <v>5000</v>
      </c>
      <c r="O2081" s="290" t="s">
        <v>5000</v>
      </c>
      <c r="P2081" s="290" t="s">
        <v>999</v>
      </c>
      <c r="Q2081" s="291" t="s">
        <v>4623</v>
      </c>
      <c r="R2081" s="276"/>
      <c r="S2081" s="277">
        <f>IF(OR(C2081="",C2081=T$4),NA(),MATCH($B2081&amp;$C2081,'Smelter Reference List'!$J:$J,0))</f>
        <v>442</v>
      </c>
      <c r="T2081" s="278"/>
      <c r="U2081" s="278"/>
      <c r="V2081" s="278"/>
      <c r="W2081" s="278"/>
    </row>
    <row r="2082" spans="1:23" s="269" customFormat="1" ht="20.25">
      <c r="A2082" s="267"/>
      <c r="B2082" s="275" t="s">
        <v>2437</v>
      </c>
      <c r="C2082" s="275" t="s">
        <v>3831</v>
      </c>
      <c r="D2082" s="168" t="s">
        <v>7909</v>
      </c>
      <c r="E2082" s="168" t="s">
        <v>1867</v>
      </c>
      <c r="F2082" s="168" t="s">
        <v>4623</v>
      </c>
      <c r="G2082" s="168" t="s">
        <v>4623</v>
      </c>
      <c r="H2082" s="292" t="s">
        <v>4623</v>
      </c>
      <c r="I2082" s="293" t="s">
        <v>4623</v>
      </c>
      <c r="J2082" s="293" t="s">
        <v>4623</v>
      </c>
      <c r="K2082" s="290" t="s">
        <v>4623</v>
      </c>
      <c r="L2082" s="290" t="s">
        <v>4623</v>
      </c>
      <c r="M2082" s="290" t="s">
        <v>4623</v>
      </c>
      <c r="N2082" s="290" t="s">
        <v>4623</v>
      </c>
      <c r="O2082" s="290" t="s">
        <v>4623</v>
      </c>
      <c r="P2082" s="290" t="s">
        <v>999</v>
      </c>
      <c r="Q2082" s="291" t="s">
        <v>4623</v>
      </c>
      <c r="R2082" s="276"/>
      <c r="S2082" s="277">
        <f>IF(OR(C2082="",C2082=T$4),NA(),MATCH($B2082&amp;$C2082,'Smelter Reference List'!$J:$J,0))</f>
        <v>442</v>
      </c>
      <c r="T2082" s="278"/>
      <c r="U2082" s="278"/>
      <c r="V2082" s="278"/>
      <c r="W2082" s="278"/>
    </row>
    <row r="2083" spans="1:23" s="269" customFormat="1" ht="20.25">
      <c r="A2083" s="267"/>
      <c r="B2083" s="275" t="s">
        <v>2437</v>
      </c>
      <c r="C2083" s="275" t="s">
        <v>3831</v>
      </c>
      <c r="D2083" s="168" t="s">
        <v>7910</v>
      </c>
      <c r="E2083" s="168" t="s">
        <v>1867</v>
      </c>
      <c r="F2083" s="168" t="s">
        <v>4623</v>
      </c>
      <c r="G2083" s="168" t="s">
        <v>4623</v>
      </c>
      <c r="H2083" s="292" t="s">
        <v>4623</v>
      </c>
      <c r="I2083" s="293" t="s">
        <v>4623</v>
      </c>
      <c r="J2083" s="293" t="s">
        <v>4623</v>
      </c>
      <c r="K2083" s="290" t="s">
        <v>4623</v>
      </c>
      <c r="L2083" s="290" t="s">
        <v>4623</v>
      </c>
      <c r="M2083" s="290" t="s">
        <v>4623</v>
      </c>
      <c r="N2083" s="290" t="s">
        <v>4623</v>
      </c>
      <c r="O2083" s="290" t="s">
        <v>4623</v>
      </c>
      <c r="P2083" s="290" t="s">
        <v>999</v>
      </c>
      <c r="Q2083" s="291" t="s">
        <v>4623</v>
      </c>
      <c r="R2083" s="276"/>
      <c r="S2083" s="277">
        <f>IF(OR(C2083="",C2083=T$4),NA(),MATCH($B2083&amp;$C2083,'Smelter Reference List'!$J:$J,0))</f>
        <v>442</v>
      </c>
      <c r="T2083" s="278"/>
      <c r="U2083" s="278"/>
      <c r="V2083" s="278"/>
      <c r="W2083" s="278"/>
    </row>
    <row r="2084" spans="1:23" s="269" customFormat="1" ht="20.25">
      <c r="A2084" s="267"/>
      <c r="B2084" s="275" t="s">
        <v>2437</v>
      </c>
      <c r="C2084" s="275" t="s">
        <v>3831</v>
      </c>
      <c r="D2084" s="168" t="s">
        <v>6992</v>
      </c>
      <c r="E2084" s="168" t="s">
        <v>1867</v>
      </c>
      <c r="F2084" s="168" t="s">
        <v>4623</v>
      </c>
      <c r="G2084" s="168" t="s">
        <v>4623</v>
      </c>
      <c r="H2084" s="292" t="s">
        <v>5981</v>
      </c>
      <c r="I2084" s="293" t="s">
        <v>5982</v>
      </c>
      <c r="J2084" s="293" t="s">
        <v>5983</v>
      </c>
      <c r="K2084" s="290" t="s">
        <v>4623</v>
      </c>
      <c r="L2084" s="290" t="s">
        <v>4623</v>
      </c>
      <c r="M2084" s="290" t="s">
        <v>4804</v>
      </c>
      <c r="N2084" s="290" t="s">
        <v>4623</v>
      </c>
      <c r="O2084" s="290" t="s">
        <v>4623</v>
      </c>
      <c r="P2084" s="290" t="s">
        <v>999</v>
      </c>
      <c r="Q2084" s="291" t="s">
        <v>4623</v>
      </c>
      <c r="R2084" s="276"/>
      <c r="S2084" s="277">
        <f>IF(OR(C2084="",C2084=T$4),NA(),MATCH($B2084&amp;$C2084,'Smelter Reference List'!$J:$J,0))</f>
        <v>442</v>
      </c>
      <c r="T2084" s="278"/>
      <c r="U2084" s="278"/>
      <c r="V2084" s="278"/>
      <c r="W2084" s="278"/>
    </row>
    <row r="2085" spans="1:23" s="269" customFormat="1" ht="20.25">
      <c r="A2085" s="267"/>
      <c r="B2085" s="275" t="s">
        <v>2437</v>
      </c>
      <c r="C2085" s="275" t="s">
        <v>3831</v>
      </c>
      <c r="D2085" s="168" t="s">
        <v>7911</v>
      </c>
      <c r="E2085" s="168" t="s">
        <v>1874</v>
      </c>
      <c r="F2085" s="168" t="s">
        <v>4623</v>
      </c>
      <c r="G2085" s="168" t="s">
        <v>4623</v>
      </c>
      <c r="H2085" s="292" t="s">
        <v>4623</v>
      </c>
      <c r="I2085" s="293" t="s">
        <v>4623</v>
      </c>
      <c r="J2085" s="293" t="s">
        <v>4623</v>
      </c>
      <c r="K2085" s="290" t="s">
        <v>4623</v>
      </c>
      <c r="L2085" s="290" t="s">
        <v>4623</v>
      </c>
      <c r="M2085" s="290" t="s">
        <v>4623</v>
      </c>
      <c r="N2085" s="290" t="s">
        <v>4623</v>
      </c>
      <c r="O2085" s="290" t="s">
        <v>4623</v>
      </c>
      <c r="P2085" s="290" t="s">
        <v>999</v>
      </c>
      <c r="Q2085" s="291" t="s">
        <v>4623</v>
      </c>
      <c r="R2085" s="276"/>
      <c r="S2085" s="277">
        <f>IF(OR(C2085="",C2085=T$4),NA(),MATCH($B2085&amp;$C2085,'Smelter Reference List'!$J:$J,0))</f>
        <v>442</v>
      </c>
      <c r="T2085" s="278"/>
      <c r="U2085" s="278"/>
      <c r="V2085" s="278"/>
      <c r="W2085" s="278"/>
    </row>
    <row r="2086" spans="1:23" s="269" customFormat="1" ht="20.25">
      <c r="A2086" s="267"/>
      <c r="B2086" s="275" t="s">
        <v>2437</v>
      </c>
      <c r="C2086" s="275" t="s">
        <v>3831</v>
      </c>
      <c r="D2086" s="168" t="s">
        <v>7912</v>
      </c>
      <c r="E2086" s="168" t="s">
        <v>1874</v>
      </c>
      <c r="F2086" s="168" t="s">
        <v>3740</v>
      </c>
      <c r="G2086" s="168" t="s">
        <v>4623</v>
      </c>
      <c r="H2086" s="292" t="s">
        <v>4623</v>
      </c>
      <c r="I2086" s="293" t="s">
        <v>4623</v>
      </c>
      <c r="J2086" s="293" t="s">
        <v>4623</v>
      </c>
      <c r="K2086" s="290" t="s">
        <v>4623</v>
      </c>
      <c r="L2086" s="290" t="s">
        <v>4623</v>
      </c>
      <c r="M2086" s="290" t="s">
        <v>4623</v>
      </c>
      <c r="N2086" s="290" t="s">
        <v>4623</v>
      </c>
      <c r="O2086" s="290" t="s">
        <v>4623</v>
      </c>
      <c r="P2086" s="290" t="s">
        <v>999</v>
      </c>
      <c r="Q2086" s="291" t="s">
        <v>4623</v>
      </c>
      <c r="R2086" s="276"/>
      <c r="S2086" s="277">
        <f>IF(OR(C2086="",C2086=T$4),NA(),MATCH($B2086&amp;$C2086,'Smelter Reference List'!$J:$J,0))</f>
        <v>442</v>
      </c>
      <c r="T2086" s="278"/>
      <c r="U2086" s="278"/>
      <c r="V2086" s="278"/>
      <c r="W2086" s="278"/>
    </row>
    <row r="2087" spans="1:23" s="269" customFormat="1" ht="20.25">
      <c r="A2087" s="267"/>
      <c r="B2087" s="275" t="s">
        <v>2437</v>
      </c>
      <c r="C2087" s="275" t="s">
        <v>4424</v>
      </c>
      <c r="D2087" s="168" t="s">
        <v>7913</v>
      </c>
      <c r="E2087" s="168" t="s">
        <v>2283</v>
      </c>
      <c r="F2087" s="168" t="s">
        <v>1502</v>
      </c>
      <c r="G2087" s="168" t="s">
        <v>3324</v>
      </c>
      <c r="H2087" s="292" t="s">
        <v>4623</v>
      </c>
      <c r="I2087" s="293" t="s">
        <v>4623</v>
      </c>
      <c r="J2087" s="293" t="s">
        <v>4623</v>
      </c>
      <c r="K2087" s="290" t="s">
        <v>4623</v>
      </c>
      <c r="L2087" s="290" t="s">
        <v>4623</v>
      </c>
      <c r="M2087" s="290" t="s">
        <v>4623</v>
      </c>
      <c r="N2087" s="290" t="s">
        <v>4623</v>
      </c>
      <c r="O2087" s="290" t="s">
        <v>4638</v>
      </c>
      <c r="P2087" s="290" t="s">
        <v>999</v>
      </c>
      <c r="Q2087" s="291" t="s">
        <v>4623</v>
      </c>
      <c r="R2087" s="276"/>
      <c r="S2087" s="277">
        <f>IF(OR(C2087="",C2087=T$4),NA(),MATCH($B2087&amp;$C2087,'Smelter Reference List'!$J:$J,0))</f>
        <v>418</v>
      </c>
      <c r="T2087" s="278"/>
      <c r="U2087" s="278"/>
      <c r="V2087" s="278"/>
      <c r="W2087" s="278"/>
    </row>
    <row r="2088" spans="1:23" s="269" customFormat="1" ht="20.25">
      <c r="A2088" s="267"/>
      <c r="B2088" s="275" t="s">
        <v>2437</v>
      </c>
      <c r="C2088" s="275" t="s">
        <v>75</v>
      </c>
      <c r="D2088" s="168" t="s">
        <v>2061</v>
      </c>
      <c r="E2088" s="168" t="s">
        <v>1851</v>
      </c>
      <c r="F2088" s="168" t="s">
        <v>1503</v>
      </c>
      <c r="G2088" s="168" t="s">
        <v>3324</v>
      </c>
      <c r="H2088" s="292" t="s">
        <v>4623</v>
      </c>
      <c r="I2088" s="293" t="s">
        <v>4623</v>
      </c>
      <c r="J2088" s="293" t="s">
        <v>4623</v>
      </c>
      <c r="K2088" s="290" t="s">
        <v>4623</v>
      </c>
      <c r="L2088" s="290" t="s">
        <v>4623</v>
      </c>
      <c r="M2088" s="290" t="s">
        <v>4623</v>
      </c>
      <c r="N2088" s="290" t="s">
        <v>4623</v>
      </c>
      <c r="O2088" s="290" t="s">
        <v>4623</v>
      </c>
      <c r="P2088" s="290" t="s">
        <v>999</v>
      </c>
      <c r="Q2088" s="291" t="s">
        <v>4623</v>
      </c>
      <c r="R2088" s="276"/>
      <c r="S2088" s="277">
        <f>IF(OR(C2088="",C2088=T$4),NA(),MATCH($B2088&amp;$C2088,'Smelter Reference List'!$J:$J,0))</f>
        <v>419</v>
      </c>
      <c r="T2088" s="278"/>
      <c r="U2088" s="278"/>
      <c r="V2088" s="278"/>
      <c r="W2088" s="278"/>
    </row>
    <row r="2089" spans="1:23" s="269" customFormat="1" ht="20.25">
      <c r="A2089" s="267"/>
      <c r="B2089" s="275" t="s">
        <v>2437</v>
      </c>
      <c r="C2089" s="275" t="s">
        <v>3763</v>
      </c>
      <c r="D2089" s="168" t="s">
        <v>4544</v>
      </c>
      <c r="E2089" s="168" t="s">
        <v>2294</v>
      </c>
      <c r="F2089" s="168" t="s">
        <v>3764</v>
      </c>
      <c r="G2089" s="168" t="s">
        <v>3324</v>
      </c>
      <c r="H2089" s="292" t="s">
        <v>4623</v>
      </c>
      <c r="I2089" s="293" t="s">
        <v>4623</v>
      </c>
      <c r="J2089" s="293" t="s">
        <v>4623</v>
      </c>
      <c r="K2089" s="290" t="s">
        <v>4623</v>
      </c>
      <c r="L2089" s="290" t="s">
        <v>4623</v>
      </c>
      <c r="M2089" s="290" t="s">
        <v>4623</v>
      </c>
      <c r="N2089" s="290" t="s">
        <v>4623</v>
      </c>
      <c r="O2089" s="290" t="s">
        <v>4623</v>
      </c>
      <c r="P2089" s="290" t="s">
        <v>999</v>
      </c>
      <c r="Q2089" s="291" t="s">
        <v>4623</v>
      </c>
      <c r="R2089" s="276"/>
      <c r="S2089" s="277">
        <f>IF(OR(C2089="",C2089=T$4),NA(),MATCH($B2089&amp;$C2089,'Smelter Reference List'!$J:$J,0))</f>
        <v>425</v>
      </c>
      <c r="T2089" s="278"/>
      <c r="U2089" s="278"/>
      <c r="V2089" s="278"/>
      <c r="W2089" s="278"/>
    </row>
    <row r="2090" spans="1:23" s="269" customFormat="1" ht="20.25">
      <c r="A2090" s="267"/>
      <c r="B2090" s="275" t="s">
        <v>2437</v>
      </c>
      <c r="C2090" s="275" t="s">
        <v>83</v>
      </c>
      <c r="D2090" s="168" t="s">
        <v>7914</v>
      </c>
      <c r="E2090" s="168" t="s">
        <v>2283</v>
      </c>
      <c r="F2090" s="168" t="s">
        <v>1504</v>
      </c>
      <c r="G2090" s="168" t="s">
        <v>3324</v>
      </c>
      <c r="H2090" s="292" t="s">
        <v>4623</v>
      </c>
      <c r="I2090" s="293" t="s">
        <v>4623</v>
      </c>
      <c r="J2090" s="293" t="s">
        <v>4623</v>
      </c>
      <c r="K2090" s="290" t="s">
        <v>4623</v>
      </c>
      <c r="L2090" s="290" t="s">
        <v>4623</v>
      </c>
      <c r="M2090" s="290" t="s">
        <v>4623</v>
      </c>
      <c r="N2090" s="290" t="s">
        <v>4623</v>
      </c>
      <c r="O2090" s="290" t="s">
        <v>7915</v>
      </c>
      <c r="P2090" s="290" t="s">
        <v>999</v>
      </c>
      <c r="Q2090" s="291" t="s">
        <v>4623</v>
      </c>
      <c r="R2090" s="276"/>
      <c r="S2090" s="277">
        <f>IF(OR(C2090="",C2090=T$4),NA(),MATCH($B2090&amp;$C2090,'Smelter Reference List'!$J:$J,0))</f>
        <v>429</v>
      </c>
      <c r="T2090" s="278"/>
      <c r="U2090" s="278"/>
      <c r="V2090" s="278"/>
      <c r="W2090" s="278"/>
    </row>
    <row r="2091" spans="1:23" s="269" customFormat="1" ht="20.25">
      <c r="A2091" s="267"/>
      <c r="B2091" s="275" t="s">
        <v>2439</v>
      </c>
      <c r="C2091" s="275" t="s">
        <v>3776</v>
      </c>
      <c r="D2091" s="168" t="s">
        <v>5608</v>
      </c>
      <c r="E2091" s="168" t="s">
        <v>2362</v>
      </c>
      <c r="F2091" s="168" t="s">
        <v>1507</v>
      </c>
      <c r="G2091" s="168" t="s">
        <v>3324</v>
      </c>
      <c r="H2091" s="292" t="s">
        <v>4623</v>
      </c>
      <c r="I2091" s="293" t="s">
        <v>4623</v>
      </c>
      <c r="J2091" s="293" t="s">
        <v>4623</v>
      </c>
      <c r="K2091" s="290" t="s">
        <v>4623</v>
      </c>
      <c r="L2091" s="290" t="s">
        <v>4623</v>
      </c>
      <c r="M2091" s="290" t="s">
        <v>4623</v>
      </c>
      <c r="N2091" s="290" t="s">
        <v>4623</v>
      </c>
      <c r="O2091" s="290" t="s">
        <v>4623</v>
      </c>
      <c r="P2091" s="290" t="s">
        <v>999</v>
      </c>
      <c r="Q2091" s="291" t="s">
        <v>4623</v>
      </c>
      <c r="R2091" s="276"/>
      <c r="S2091" s="277">
        <f>IF(OR(C2091="",C2091=T$4),NA(),MATCH($B2091&amp;$C2091,'Smelter Reference List'!$J:$J,0))</f>
        <v>443</v>
      </c>
      <c r="T2091" s="278"/>
      <c r="U2091" s="278"/>
      <c r="V2091" s="278"/>
      <c r="W2091" s="278"/>
    </row>
    <row r="2092" spans="1:23" s="269" customFormat="1" ht="20.25">
      <c r="A2092" s="267"/>
      <c r="B2092" s="275" t="s">
        <v>2439</v>
      </c>
      <c r="C2092" s="275" t="s">
        <v>2855</v>
      </c>
      <c r="D2092" s="168" t="s">
        <v>2855</v>
      </c>
      <c r="E2092" s="168" t="s">
        <v>1874</v>
      </c>
      <c r="F2092" s="168" t="s">
        <v>2856</v>
      </c>
      <c r="G2092" s="168" t="s">
        <v>3324</v>
      </c>
      <c r="H2092" s="292" t="s">
        <v>4623</v>
      </c>
      <c r="I2092" s="293" t="s">
        <v>4623</v>
      </c>
      <c r="J2092" s="293" t="s">
        <v>4623</v>
      </c>
      <c r="K2092" s="290" t="s">
        <v>4623</v>
      </c>
      <c r="L2092" s="290" t="s">
        <v>4623</v>
      </c>
      <c r="M2092" s="290" t="s">
        <v>4623</v>
      </c>
      <c r="N2092" s="290" t="s">
        <v>4623</v>
      </c>
      <c r="O2092" s="290" t="s">
        <v>4623</v>
      </c>
      <c r="P2092" s="290" t="s">
        <v>999</v>
      </c>
      <c r="Q2092" s="291" t="s">
        <v>4623</v>
      </c>
      <c r="R2092" s="276"/>
      <c r="S2092" s="277">
        <f>IF(OR(C2092="",C2092=T$4),NA(),MATCH($B2092&amp;$C2092,'Smelter Reference List'!$J:$J,0))</f>
        <v>447</v>
      </c>
      <c r="T2092" s="278"/>
      <c r="U2092" s="278"/>
      <c r="V2092" s="278"/>
      <c r="W2092" s="278"/>
    </row>
    <row r="2093" spans="1:23" s="269" customFormat="1" ht="20.25">
      <c r="A2093" s="267"/>
      <c r="B2093" s="275" t="s">
        <v>2439</v>
      </c>
      <c r="C2093" s="275" t="s">
        <v>4576</v>
      </c>
      <c r="D2093" s="168" t="s">
        <v>230</v>
      </c>
      <c r="E2093" s="168" t="s">
        <v>1867</v>
      </c>
      <c r="F2093" s="168" t="s">
        <v>1508</v>
      </c>
      <c r="G2093" s="168" t="s">
        <v>3324</v>
      </c>
      <c r="H2093" s="292" t="s">
        <v>4623</v>
      </c>
      <c r="I2093" s="293" t="s">
        <v>4623</v>
      </c>
      <c r="J2093" s="293" t="s">
        <v>4623</v>
      </c>
      <c r="K2093" s="290" t="s">
        <v>4623</v>
      </c>
      <c r="L2093" s="290" t="s">
        <v>4623</v>
      </c>
      <c r="M2093" s="290" t="s">
        <v>4623</v>
      </c>
      <c r="N2093" s="290" t="s">
        <v>4623</v>
      </c>
      <c r="O2093" s="290" t="s">
        <v>4623</v>
      </c>
      <c r="P2093" s="290" t="s">
        <v>999</v>
      </c>
      <c r="Q2093" s="291" t="s">
        <v>4623</v>
      </c>
      <c r="R2093" s="276"/>
      <c r="S2093" s="277">
        <f>IF(OR(C2093="",C2093=T$4),NA(),MATCH($B2093&amp;$C2093,'Smelter Reference List'!$J:$J,0))</f>
        <v>448</v>
      </c>
      <c r="T2093" s="278"/>
      <c r="U2093" s="278"/>
      <c r="V2093" s="278"/>
      <c r="W2093" s="278"/>
    </row>
    <row r="2094" spans="1:23" s="269" customFormat="1" ht="20.25">
      <c r="A2094" s="267"/>
      <c r="B2094" s="275" t="s">
        <v>2439</v>
      </c>
      <c r="C2094" s="275" t="s">
        <v>2857</v>
      </c>
      <c r="D2094" s="168" t="s">
        <v>2857</v>
      </c>
      <c r="E2094" s="168" t="s">
        <v>2294</v>
      </c>
      <c r="F2094" s="168" t="s">
        <v>2858</v>
      </c>
      <c r="G2094" s="168" t="s">
        <v>3324</v>
      </c>
      <c r="H2094" s="292" t="s">
        <v>4623</v>
      </c>
      <c r="I2094" s="293" t="s">
        <v>4623</v>
      </c>
      <c r="J2094" s="293" t="s">
        <v>4623</v>
      </c>
      <c r="K2094" s="290" t="s">
        <v>4623</v>
      </c>
      <c r="L2094" s="290" t="s">
        <v>4623</v>
      </c>
      <c r="M2094" s="290" t="s">
        <v>4623</v>
      </c>
      <c r="N2094" s="290" t="s">
        <v>4623</v>
      </c>
      <c r="O2094" s="290" t="s">
        <v>4623</v>
      </c>
      <c r="P2094" s="290" t="s">
        <v>999</v>
      </c>
      <c r="Q2094" s="291" t="s">
        <v>4623</v>
      </c>
      <c r="R2094" s="276"/>
      <c r="S2094" s="277">
        <f>IF(OR(C2094="",C2094=T$4),NA(),MATCH($B2094&amp;$C2094,'Smelter Reference List'!$J:$J,0))</f>
        <v>451</v>
      </c>
      <c r="T2094" s="278"/>
      <c r="U2094" s="278"/>
      <c r="V2094" s="278"/>
      <c r="W2094" s="278"/>
    </row>
    <row r="2095" spans="1:23" s="269" customFormat="1" ht="20.25">
      <c r="A2095" s="267"/>
      <c r="B2095" s="275" t="s">
        <v>2439</v>
      </c>
      <c r="C2095" s="275" t="s">
        <v>3785</v>
      </c>
      <c r="D2095" s="168" t="s">
        <v>232</v>
      </c>
      <c r="E2095" s="168" t="s">
        <v>2294</v>
      </c>
      <c r="F2095" s="168" t="s">
        <v>1518</v>
      </c>
      <c r="G2095" s="168" t="s">
        <v>3324</v>
      </c>
      <c r="H2095" s="292" t="s">
        <v>4623</v>
      </c>
      <c r="I2095" s="293" t="s">
        <v>4623</v>
      </c>
      <c r="J2095" s="293" t="s">
        <v>4623</v>
      </c>
      <c r="K2095" s="290" t="s">
        <v>4623</v>
      </c>
      <c r="L2095" s="290" t="s">
        <v>4623</v>
      </c>
      <c r="M2095" s="290" t="s">
        <v>4623</v>
      </c>
      <c r="N2095" s="290" t="s">
        <v>4623</v>
      </c>
      <c r="O2095" s="290" t="s">
        <v>4623</v>
      </c>
      <c r="P2095" s="290" t="s">
        <v>999</v>
      </c>
      <c r="Q2095" s="291" t="s">
        <v>4623</v>
      </c>
      <c r="R2095" s="276"/>
      <c r="S2095" s="277">
        <f>IF(OR(C2095="",C2095=T$4),NA(),MATCH($B2095&amp;$C2095,'Smelter Reference List'!$J:$J,0))</f>
        <v>452</v>
      </c>
      <c r="T2095" s="278"/>
      <c r="U2095" s="278"/>
      <c r="V2095" s="278"/>
      <c r="W2095" s="278"/>
    </row>
    <row r="2096" spans="1:23" s="269" customFormat="1" ht="20.25">
      <c r="A2096" s="267"/>
      <c r="B2096" s="275" t="s">
        <v>2439</v>
      </c>
      <c r="C2096" s="275" t="s">
        <v>2794</v>
      </c>
      <c r="D2096" s="168" t="s">
        <v>6088</v>
      </c>
      <c r="E2096" s="168" t="s">
        <v>2294</v>
      </c>
      <c r="F2096" s="168" t="s">
        <v>1510</v>
      </c>
      <c r="G2096" s="168" t="s">
        <v>3324</v>
      </c>
      <c r="H2096" s="292" t="s">
        <v>4623</v>
      </c>
      <c r="I2096" s="293" t="s">
        <v>4623</v>
      </c>
      <c r="J2096" s="293" t="s">
        <v>4623</v>
      </c>
      <c r="K2096" s="290" t="s">
        <v>4623</v>
      </c>
      <c r="L2096" s="290" t="s">
        <v>4623</v>
      </c>
      <c r="M2096" s="290" t="s">
        <v>4623</v>
      </c>
      <c r="N2096" s="290" t="s">
        <v>4623</v>
      </c>
      <c r="O2096" s="290" t="s">
        <v>4667</v>
      </c>
      <c r="P2096" s="290" t="s">
        <v>999</v>
      </c>
      <c r="Q2096" s="291" t="s">
        <v>4623</v>
      </c>
      <c r="R2096" s="276"/>
      <c r="S2096" s="277">
        <f>IF(OR(C2096="",C2096=T$4),NA(),MATCH($B2096&amp;$C2096,'Smelter Reference List'!$J:$J,0))</f>
        <v>453</v>
      </c>
      <c r="T2096" s="278"/>
      <c r="U2096" s="278"/>
      <c r="V2096" s="278"/>
      <c r="W2096" s="278"/>
    </row>
    <row r="2097" spans="1:23" s="269" customFormat="1" ht="20.25">
      <c r="A2097" s="267"/>
      <c r="B2097" s="275" t="s">
        <v>2439</v>
      </c>
      <c r="C2097" s="275" t="s">
        <v>2859</v>
      </c>
      <c r="D2097" s="168" t="s">
        <v>2859</v>
      </c>
      <c r="E2097" s="168" t="s">
        <v>2294</v>
      </c>
      <c r="F2097" s="168" t="s">
        <v>2860</v>
      </c>
      <c r="G2097" s="168" t="s">
        <v>3324</v>
      </c>
      <c r="H2097" s="292" t="s">
        <v>4623</v>
      </c>
      <c r="I2097" s="293" t="s">
        <v>4623</v>
      </c>
      <c r="J2097" s="293" t="s">
        <v>4623</v>
      </c>
      <c r="K2097" s="290" t="s">
        <v>4623</v>
      </c>
      <c r="L2097" s="290" t="s">
        <v>4623</v>
      </c>
      <c r="M2097" s="290" t="s">
        <v>4623</v>
      </c>
      <c r="N2097" s="290" t="s">
        <v>4623</v>
      </c>
      <c r="O2097" s="290" t="s">
        <v>4623</v>
      </c>
      <c r="P2097" s="290" t="s">
        <v>999</v>
      </c>
      <c r="Q2097" s="291" t="s">
        <v>4623</v>
      </c>
      <c r="R2097" s="276"/>
      <c r="S2097" s="277">
        <f>IF(OR(C2097="",C2097=T$4),NA(),MATCH($B2097&amp;$C2097,'Smelter Reference List'!$J:$J,0))</f>
        <v>454</v>
      </c>
      <c r="T2097" s="278"/>
      <c r="U2097" s="278"/>
      <c r="V2097" s="278"/>
      <c r="W2097" s="278"/>
    </row>
    <row r="2098" spans="1:23" s="269" customFormat="1" ht="20.25">
      <c r="A2098" s="267"/>
      <c r="B2098" s="275" t="s">
        <v>2439</v>
      </c>
      <c r="C2098" s="275" t="s">
        <v>1568</v>
      </c>
      <c r="D2098" s="168" t="s">
        <v>1568</v>
      </c>
      <c r="E2098" s="168" t="s">
        <v>2294</v>
      </c>
      <c r="F2098" s="168" t="s">
        <v>1511</v>
      </c>
      <c r="G2098" s="168" t="s">
        <v>3324</v>
      </c>
      <c r="H2098" s="292" t="s">
        <v>4623</v>
      </c>
      <c r="I2098" s="293" t="s">
        <v>4623</v>
      </c>
      <c r="J2098" s="293" t="s">
        <v>4623</v>
      </c>
      <c r="K2098" s="290" t="s">
        <v>4623</v>
      </c>
      <c r="L2098" s="290" t="s">
        <v>4623</v>
      </c>
      <c r="M2098" s="290" t="s">
        <v>4623</v>
      </c>
      <c r="N2098" s="290" t="s">
        <v>4623</v>
      </c>
      <c r="O2098" s="290" t="s">
        <v>4623</v>
      </c>
      <c r="P2098" s="290" t="s">
        <v>999</v>
      </c>
      <c r="Q2098" s="291" t="s">
        <v>4623</v>
      </c>
      <c r="R2098" s="276"/>
      <c r="S2098" s="277">
        <f>IF(OR(C2098="",C2098=T$4),NA(),MATCH($B2098&amp;$C2098,'Smelter Reference List'!$J:$J,0))</f>
        <v>455</v>
      </c>
      <c r="T2098" s="278"/>
      <c r="U2098" s="278"/>
      <c r="V2098" s="278"/>
      <c r="W2098" s="278"/>
    </row>
    <row r="2099" spans="1:23" s="269" customFormat="1" ht="20.25">
      <c r="A2099" s="267"/>
      <c r="B2099" s="275" t="s">
        <v>2439</v>
      </c>
      <c r="C2099" s="275" t="s">
        <v>1569</v>
      </c>
      <c r="D2099" s="168" t="s">
        <v>1569</v>
      </c>
      <c r="E2099" s="168" t="s">
        <v>2294</v>
      </c>
      <c r="F2099" s="168" t="s">
        <v>1512</v>
      </c>
      <c r="G2099" s="168" t="s">
        <v>3324</v>
      </c>
      <c r="H2099" s="292" t="s">
        <v>4623</v>
      </c>
      <c r="I2099" s="293" t="s">
        <v>4623</v>
      </c>
      <c r="J2099" s="293" t="s">
        <v>4623</v>
      </c>
      <c r="K2099" s="290" t="s">
        <v>4623</v>
      </c>
      <c r="L2099" s="290" t="s">
        <v>4623</v>
      </c>
      <c r="M2099" s="290" t="s">
        <v>4623</v>
      </c>
      <c r="N2099" s="290" t="s">
        <v>4623</v>
      </c>
      <c r="O2099" s="290" t="s">
        <v>4623</v>
      </c>
      <c r="P2099" s="290" t="s">
        <v>999</v>
      </c>
      <c r="Q2099" s="291" t="s">
        <v>4623</v>
      </c>
      <c r="R2099" s="276"/>
      <c r="S2099" s="277">
        <f>IF(OR(C2099="",C2099=T$4),NA(),MATCH($B2099&amp;$C2099,'Smelter Reference List'!$J:$J,0))</f>
        <v>456</v>
      </c>
      <c r="T2099" s="278"/>
      <c r="U2099" s="278"/>
      <c r="V2099" s="278"/>
      <c r="W2099" s="278"/>
    </row>
    <row r="2100" spans="1:23" s="269" customFormat="1" ht="20.25">
      <c r="A2100" s="267"/>
      <c r="B2100" s="275" t="s">
        <v>2439</v>
      </c>
      <c r="C2100" s="275" t="s">
        <v>2861</v>
      </c>
      <c r="D2100" s="168" t="s">
        <v>2861</v>
      </c>
      <c r="E2100" s="168" t="s">
        <v>2294</v>
      </c>
      <c r="F2100" s="168" t="s">
        <v>2862</v>
      </c>
      <c r="G2100" s="168" t="s">
        <v>3324</v>
      </c>
      <c r="H2100" s="292" t="s">
        <v>4623</v>
      </c>
      <c r="I2100" s="293" t="s">
        <v>4623</v>
      </c>
      <c r="J2100" s="293" t="s">
        <v>4623</v>
      </c>
      <c r="K2100" s="290" t="s">
        <v>4623</v>
      </c>
      <c r="L2100" s="290" t="s">
        <v>4623</v>
      </c>
      <c r="M2100" s="290" t="s">
        <v>4623</v>
      </c>
      <c r="N2100" s="290" t="s">
        <v>4623</v>
      </c>
      <c r="O2100" s="290" t="s">
        <v>4623</v>
      </c>
      <c r="P2100" s="290" t="s">
        <v>999</v>
      </c>
      <c r="Q2100" s="291" t="s">
        <v>4623</v>
      </c>
      <c r="R2100" s="276"/>
      <c r="S2100" s="277">
        <f>IF(OR(C2100="",C2100=T$4),NA(),MATCH($B2100&amp;$C2100,'Smelter Reference List'!$J:$J,0))</f>
        <v>457</v>
      </c>
      <c r="T2100" s="278"/>
      <c r="U2100" s="278"/>
      <c r="V2100" s="278"/>
      <c r="W2100" s="278"/>
    </row>
    <row r="2101" spans="1:23" s="269" customFormat="1" ht="20.25">
      <c r="A2101" s="267"/>
      <c r="B2101" s="275" t="s">
        <v>2439</v>
      </c>
      <c r="C2101" s="275" t="s">
        <v>234</v>
      </c>
      <c r="D2101" s="168" t="s">
        <v>234</v>
      </c>
      <c r="E2101" s="168" t="s">
        <v>2294</v>
      </c>
      <c r="F2101" s="168" t="s">
        <v>222</v>
      </c>
      <c r="G2101" s="168" t="s">
        <v>3324</v>
      </c>
      <c r="H2101" s="292" t="s">
        <v>4623</v>
      </c>
      <c r="I2101" s="293" t="s">
        <v>4623</v>
      </c>
      <c r="J2101" s="293" t="s">
        <v>4623</v>
      </c>
      <c r="K2101" s="290" t="s">
        <v>4623</v>
      </c>
      <c r="L2101" s="290" t="s">
        <v>4623</v>
      </c>
      <c r="M2101" s="290" t="s">
        <v>4623</v>
      </c>
      <c r="N2101" s="290" t="s">
        <v>4623</v>
      </c>
      <c r="O2101" s="290" t="s">
        <v>4667</v>
      </c>
      <c r="P2101" s="290" t="s">
        <v>999</v>
      </c>
      <c r="Q2101" s="291" t="s">
        <v>4623</v>
      </c>
      <c r="R2101" s="276"/>
      <c r="S2101" s="277">
        <f>IF(OR(C2101="",C2101=T$4),NA(),MATCH($B2101&amp;$C2101,'Smelter Reference List'!$J:$J,0))</f>
        <v>459</v>
      </c>
      <c r="T2101" s="278"/>
      <c r="U2101" s="278"/>
      <c r="V2101" s="278"/>
      <c r="W2101" s="278"/>
    </row>
    <row r="2102" spans="1:23" s="269" customFormat="1" ht="20.25">
      <c r="A2102" s="267"/>
      <c r="B2102" s="275" t="s">
        <v>2439</v>
      </c>
      <c r="C2102" s="275" t="s">
        <v>231</v>
      </c>
      <c r="D2102" s="168" t="s">
        <v>5017</v>
      </c>
      <c r="E2102" s="168" t="s">
        <v>2294</v>
      </c>
      <c r="F2102" s="168" t="s">
        <v>1517</v>
      </c>
      <c r="G2102" s="168" t="s">
        <v>3324</v>
      </c>
      <c r="H2102" s="292" t="s">
        <v>4623</v>
      </c>
      <c r="I2102" s="293" t="s">
        <v>4623</v>
      </c>
      <c r="J2102" s="293" t="s">
        <v>4623</v>
      </c>
      <c r="K2102" s="290" t="s">
        <v>4623</v>
      </c>
      <c r="L2102" s="290" t="s">
        <v>4623</v>
      </c>
      <c r="M2102" s="290" t="s">
        <v>4623</v>
      </c>
      <c r="N2102" s="290" t="s">
        <v>4623</v>
      </c>
      <c r="O2102" s="290" t="s">
        <v>7916</v>
      </c>
      <c r="P2102" s="290" t="s">
        <v>999</v>
      </c>
      <c r="Q2102" s="291" t="s">
        <v>4623</v>
      </c>
      <c r="R2102" s="276"/>
      <c r="S2102" s="277">
        <f>IF(OR(C2102="",C2102=T$4),NA(),MATCH($B2102&amp;$C2102,'Smelter Reference List'!$J:$J,0))</f>
        <v>460</v>
      </c>
      <c r="T2102" s="278"/>
      <c r="U2102" s="278"/>
      <c r="V2102" s="278"/>
      <c r="W2102" s="278"/>
    </row>
    <row r="2103" spans="1:23" s="269" customFormat="1" ht="20.25">
      <c r="A2103" s="267"/>
      <c r="B2103" s="275" t="s">
        <v>2439</v>
      </c>
      <c r="C2103" s="275" t="s">
        <v>772</v>
      </c>
      <c r="D2103" s="168" t="s">
        <v>772</v>
      </c>
      <c r="E2103" s="168" t="s">
        <v>2294</v>
      </c>
      <c r="F2103" s="168" t="s">
        <v>773</v>
      </c>
      <c r="G2103" s="168" t="s">
        <v>3324</v>
      </c>
      <c r="H2103" s="292" t="s">
        <v>4623</v>
      </c>
      <c r="I2103" s="293" t="s">
        <v>4623</v>
      </c>
      <c r="J2103" s="293" t="s">
        <v>4623</v>
      </c>
      <c r="K2103" s="290" t="s">
        <v>4623</v>
      </c>
      <c r="L2103" s="290" t="s">
        <v>4623</v>
      </c>
      <c r="M2103" s="290" t="s">
        <v>4623</v>
      </c>
      <c r="N2103" s="290" t="s">
        <v>4623</v>
      </c>
      <c r="O2103" s="290" t="s">
        <v>4667</v>
      </c>
      <c r="P2103" s="290" t="s">
        <v>999</v>
      </c>
      <c r="Q2103" s="291" t="s">
        <v>4623</v>
      </c>
      <c r="R2103" s="276"/>
      <c r="S2103" s="277">
        <f>IF(OR(C2103="",C2103=T$4),NA(),MATCH($B2103&amp;$C2103,'Smelter Reference List'!$J:$J,0))</f>
        <v>461</v>
      </c>
      <c r="T2103" s="278"/>
      <c r="U2103" s="278"/>
      <c r="V2103" s="278"/>
      <c r="W2103" s="278"/>
    </row>
    <row r="2104" spans="1:23" s="269" customFormat="1" ht="20.25">
      <c r="A2104" s="267"/>
      <c r="B2104" s="275" t="s">
        <v>2439</v>
      </c>
      <c r="C2104" s="275" t="s">
        <v>2863</v>
      </c>
      <c r="D2104" s="168" t="s">
        <v>2863</v>
      </c>
      <c r="E2104" s="168" t="s">
        <v>2294</v>
      </c>
      <c r="F2104" s="168" t="s">
        <v>2864</v>
      </c>
      <c r="G2104" s="168" t="s">
        <v>3324</v>
      </c>
      <c r="H2104" s="292" t="s">
        <v>4623</v>
      </c>
      <c r="I2104" s="293" t="s">
        <v>4623</v>
      </c>
      <c r="J2104" s="293" t="s">
        <v>4623</v>
      </c>
      <c r="K2104" s="290" t="s">
        <v>4623</v>
      </c>
      <c r="L2104" s="290" t="s">
        <v>4623</v>
      </c>
      <c r="M2104" s="290" t="s">
        <v>4623</v>
      </c>
      <c r="N2104" s="290" t="s">
        <v>4623</v>
      </c>
      <c r="O2104" s="290" t="s">
        <v>4623</v>
      </c>
      <c r="P2104" s="290" t="s">
        <v>999</v>
      </c>
      <c r="Q2104" s="291" t="s">
        <v>4623</v>
      </c>
      <c r="R2104" s="276"/>
      <c r="S2104" s="277">
        <f>IF(OR(C2104="",C2104=T$4),NA(),MATCH($B2104&amp;$C2104,'Smelter Reference List'!$J:$J,0))</f>
        <v>462</v>
      </c>
      <c r="T2104" s="278"/>
      <c r="U2104" s="278"/>
      <c r="V2104" s="278"/>
      <c r="W2104" s="278"/>
    </row>
    <row r="2105" spans="1:23" s="269" customFormat="1" ht="20.25">
      <c r="A2105" s="267"/>
      <c r="B2105" s="275" t="s">
        <v>2439</v>
      </c>
      <c r="C2105" s="275" t="s">
        <v>2899</v>
      </c>
      <c r="D2105" s="168" t="s">
        <v>5437</v>
      </c>
      <c r="E2105" s="168" t="s">
        <v>2308</v>
      </c>
      <c r="F2105" s="168" t="s">
        <v>2900</v>
      </c>
      <c r="G2105" s="168" t="s">
        <v>3324</v>
      </c>
      <c r="H2105" s="292" t="s">
        <v>4623</v>
      </c>
      <c r="I2105" s="293" t="s">
        <v>4623</v>
      </c>
      <c r="J2105" s="293" t="s">
        <v>4623</v>
      </c>
      <c r="K2105" s="290" t="s">
        <v>4623</v>
      </c>
      <c r="L2105" s="290" t="s">
        <v>4623</v>
      </c>
      <c r="M2105" s="290" t="s">
        <v>4623</v>
      </c>
      <c r="N2105" s="290" t="s">
        <v>4623</v>
      </c>
      <c r="O2105" s="290" t="s">
        <v>4623</v>
      </c>
      <c r="P2105" s="290" t="s">
        <v>999</v>
      </c>
      <c r="Q2105" s="291" t="s">
        <v>4623</v>
      </c>
      <c r="R2105" s="276"/>
      <c r="S2105" s="277">
        <f>IF(OR(C2105="",C2105=T$4),NA(),MATCH($B2105&amp;$C2105,'Smelter Reference List'!$J:$J,0))</f>
        <v>466</v>
      </c>
      <c r="T2105" s="278"/>
      <c r="U2105" s="278"/>
      <c r="V2105" s="278"/>
      <c r="W2105" s="278"/>
    </row>
    <row r="2106" spans="1:23" s="269" customFormat="1" ht="20.25">
      <c r="A2106" s="267"/>
      <c r="B2106" s="275" t="s">
        <v>2439</v>
      </c>
      <c r="C2106" s="275" t="s">
        <v>2889</v>
      </c>
      <c r="D2106" s="168" t="s">
        <v>6025</v>
      </c>
      <c r="E2106" s="168" t="s">
        <v>2308</v>
      </c>
      <c r="F2106" s="168" t="s">
        <v>2901</v>
      </c>
      <c r="G2106" s="168" t="s">
        <v>3324</v>
      </c>
      <c r="H2106" s="292" t="s">
        <v>4623</v>
      </c>
      <c r="I2106" s="293" t="s">
        <v>4623</v>
      </c>
      <c r="J2106" s="293" t="s">
        <v>4623</v>
      </c>
      <c r="K2106" s="290" t="s">
        <v>4623</v>
      </c>
      <c r="L2106" s="290" t="s">
        <v>4623</v>
      </c>
      <c r="M2106" s="290" t="s">
        <v>4623</v>
      </c>
      <c r="N2106" s="290" t="s">
        <v>4623</v>
      </c>
      <c r="O2106" s="290" t="s">
        <v>4623</v>
      </c>
      <c r="P2106" s="290" t="s">
        <v>999</v>
      </c>
      <c r="Q2106" s="291" t="s">
        <v>4623</v>
      </c>
      <c r="R2106" s="276"/>
      <c r="S2106" s="277">
        <f>IF(OR(C2106="",C2106=T$4),NA(),MATCH($B2106&amp;$C2106,'Smelter Reference List'!$J:$J,0))</f>
        <v>467</v>
      </c>
      <c r="T2106" s="278"/>
      <c r="U2106" s="278"/>
      <c r="V2106" s="278"/>
      <c r="W2106" s="278"/>
    </row>
    <row r="2107" spans="1:23" s="269" customFormat="1" ht="20.25">
      <c r="A2107" s="267"/>
      <c r="B2107" s="275" t="s">
        <v>2439</v>
      </c>
      <c r="C2107" s="275" t="s">
        <v>2792</v>
      </c>
      <c r="D2107" s="168" t="s">
        <v>4540</v>
      </c>
      <c r="E2107" s="168" t="s">
        <v>2294</v>
      </c>
      <c r="F2107" s="168" t="s">
        <v>1514</v>
      </c>
      <c r="G2107" s="168" t="s">
        <v>3324</v>
      </c>
      <c r="H2107" s="292" t="s">
        <v>4623</v>
      </c>
      <c r="I2107" s="293" t="s">
        <v>4623</v>
      </c>
      <c r="J2107" s="293" t="s">
        <v>4623</v>
      </c>
      <c r="K2107" s="290" t="s">
        <v>4623</v>
      </c>
      <c r="L2107" s="290" t="s">
        <v>4623</v>
      </c>
      <c r="M2107" s="290" t="s">
        <v>4623</v>
      </c>
      <c r="N2107" s="290" t="s">
        <v>4623</v>
      </c>
      <c r="O2107" s="290" t="s">
        <v>4667</v>
      </c>
      <c r="P2107" s="290" t="s">
        <v>999</v>
      </c>
      <c r="Q2107" s="291" t="s">
        <v>4623</v>
      </c>
      <c r="R2107" s="276"/>
      <c r="S2107" s="277">
        <f>IF(OR(C2107="",C2107=T$4),NA(),MATCH($B2107&amp;$C2107,'Smelter Reference List'!$J:$J,0))</f>
        <v>468</v>
      </c>
      <c r="T2107" s="278"/>
      <c r="U2107" s="278"/>
      <c r="V2107" s="278"/>
      <c r="W2107" s="278"/>
    </row>
    <row r="2108" spans="1:23" s="269" customFormat="1" ht="20.25">
      <c r="A2108" s="267"/>
      <c r="B2108" s="275" t="s">
        <v>2439</v>
      </c>
      <c r="C2108" s="275" t="s">
        <v>3818</v>
      </c>
      <c r="D2108" s="168" t="s">
        <v>3818</v>
      </c>
      <c r="E2108" s="168" t="s">
        <v>2294</v>
      </c>
      <c r="F2108" s="168" t="s">
        <v>3819</v>
      </c>
      <c r="G2108" s="168" t="s">
        <v>3324</v>
      </c>
      <c r="H2108" s="292" t="s">
        <v>4623</v>
      </c>
      <c r="I2108" s="293" t="s">
        <v>4623</v>
      </c>
      <c r="J2108" s="293" t="s">
        <v>4623</v>
      </c>
      <c r="K2108" s="290" t="s">
        <v>4623</v>
      </c>
      <c r="L2108" s="290" t="s">
        <v>4623</v>
      </c>
      <c r="M2108" s="290" t="s">
        <v>4623</v>
      </c>
      <c r="N2108" s="290" t="s">
        <v>4623</v>
      </c>
      <c r="O2108" s="290" t="s">
        <v>4623</v>
      </c>
      <c r="P2108" s="290" t="s">
        <v>999</v>
      </c>
      <c r="Q2108" s="291" t="s">
        <v>4623</v>
      </c>
      <c r="R2108" s="276"/>
      <c r="S2108" s="277">
        <f>IF(OR(C2108="",C2108=T$4),NA(),MATCH($B2108&amp;$C2108,'Smelter Reference List'!$J:$J,0))</f>
        <v>470</v>
      </c>
      <c r="T2108" s="278"/>
      <c r="U2108" s="278"/>
      <c r="V2108" s="278"/>
      <c r="W2108" s="278"/>
    </row>
    <row r="2109" spans="1:23" s="269" customFormat="1" ht="20.25">
      <c r="A2109" s="267"/>
      <c r="B2109" s="275" t="s">
        <v>2439</v>
      </c>
      <c r="C2109" s="275" t="s">
        <v>3816</v>
      </c>
      <c r="D2109" s="168" t="s">
        <v>3816</v>
      </c>
      <c r="E2109" s="168" t="s">
        <v>2294</v>
      </c>
      <c r="F2109" s="168" t="s">
        <v>3817</v>
      </c>
      <c r="G2109" s="168" t="s">
        <v>3324</v>
      </c>
      <c r="H2109" s="292" t="s">
        <v>4623</v>
      </c>
      <c r="I2109" s="293" t="s">
        <v>4623</v>
      </c>
      <c r="J2109" s="293" t="s">
        <v>4623</v>
      </c>
      <c r="K2109" s="290" t="s">
        <v>4623</v>
      </c>
      <c r="L2109" s="290" t="s">
        <v>4623</v>
      </c>
      <c r="M2109" s="290" t="s">
        <v>4623</v>
      </c>
      <c r="N2109" s="290" t="s">
        <v>4623</v>
      </c>
      <c r="O2109" s="290" t="s">
        <v>4623</v>
      </c>
      <c r="P2109" s="290" t="s">
        <v>999</v>
      </c>
      <c r="Q2109" s="291" t="s">
        <v>4623</v>
      </c>
      <c r="R2109" s="276"/>
      <c r="S2109" s="277">
        <f>IF(OR(C2109="",C2109=T$4),NA(),MATCH($B2109&amp;$C2109,'Smelter Reference List'!$J:$J,0))</f>
        <v>471</v>
      </c>
      <c r="T2109" s="278"/>
      <c r="U2109" s="278"/>
      <c r="V2109" s="278"/>
      <c r="W2109" s="278"/>
    </row>
    <row r="2110" spans="1:23" s="269" customFormat="1" ht="20.25">
      <c r="A2110" s="267"/>
      <c r="B2110" s="275" t="s">
        <v>2439</v>
      </c>
      <c r="C2110" s="275" t="s">
        <v>2796</v>
      </c>
      <c r="D2110" s="168" t="s">
        <v>2796</v>
      </c>
      <c r="E2110" s="168" t="s">
        <v>2294</v>
      </c>
      <c r="F2110" s="168" t="s">
        <v>1515</v>
      </c>
      <c r="G2110" s="168" t="s">
        <v>3324</v>
      </c>
      <c r="H2110" s="292" t="s">
        <v>4623</v>
      </c>
      <c r="I2110" s="293" t="s">
        <v>4623</v>
      </c>
      <c r="J2110" s="293" t="s">
        <v>4623</v>
      </c>
      <c r="K2110" s="290" t="s">
        <v>4623</v>
      </c>
      <c r="L2110" s="290" t="s">
        <v>4623</v>
      </c>
      <c r="M2110" s="290" t="s">
        <v>4623</v>
      </c>
      <c r="N2110" s="290" t="s">
        <v>4623</v>
      </c>
      <c r="O2110" s="290" t="s">
        <v>4667</v>
      </c>
      <c r="P2110" s="290" t="s">
        <v>999</v>
      </c>
      <c r="Q2110" s="291" t="s">
        <v>4623</v>
      </c>
      <c r="R2110" s="276"/>
      <c r="S2110" s="277">
        <f>IF(OR(C2110="",C2110=T$4),NA(),MATCH($B2110&amp;$C2110,'Smelter Reference List'!$J:$J,0))</f>
        <v>472</v>
      </c>
      <c r="T2110" s="278"/>
      <c r="U2110" s="278"/>
      <c r="V2110" s="278"/>
      <c r="W2110" s="278"/>
    </row>
    <row r="2111" spans="1:23" s="269" customFormat="1" ht="20.25">
      <c r="A2111" s="267"/>
      <c r="B2111" s="275" t="s">
        <v>2439</v>
      </c>
      <c r="C2111" s="275" t="s">
        <v>3823</v>
      </c>
      <c r="D2111" s="168" t="s">
        <v>7917</v>
      </c>
      <c r="E2111" s="168" t="s">
        <v>1825</v>
      </c>
      <c r="F2111" s="168" t="s">
        <v>3824</v>
      </c>
      <c r="G2111" s="168" t="s">
        <v>3324</v>
      </c>
      <c r="H2111" s="292" t="s">
        <v>4623</v>
      </c>
      <c r="I2111" s="293" t="s">
        <v>4623</v>
      </c>
      <c r="J2111" s="293" t="s">
        <v>4623</v>
      </c>
      <c r="K2111" s="290" t="s">
        <v>4623</v>
      </c>
      <c r="L2111" s="290" t="s">
        <v>4623</v>
      </c>
      <c r="M2111" s="290" t="s">
        <v>4623</v>
      </c>
      <c r="N2111" s="290" t="s">
        <v>4623</v>
      </c>
      <c r="O2111" s="290" t="s">
        <v>4623</v>
      </c>
      <c r="P2111" s="290" t="s">
        <v>999</v>
      </c>
      <c r="Q2111" s="291" t="s">
        <v>4623</v>
      </c>
      <c r="R2111" s="276"/>
      <c r="S2111" s="277">
        <f>IF(OR(C2111="",C2111=T$4),NA(),MATCH($B2111&amp;$C2111,'Smelter Reference List'!$J:$J,0))</f>
        <v>473</v>
      </c>
      <c r="T2111" s="278"/>
      <c r="U2111" s="278"/>
      <c r="V2111" s="278"/>
      <c r="W2111" s="278"/>
    </row>
    <row r="2112" spans="1:23" s="269" customFormat="1" ht="20.25">
      <c r="A2112" s="267"/>
      <c r="B2112" s="275" t="s">
        <v>2439</v>
      </c>
      <c r="C2112" s="275" t="s">
        <v>2797</v>
      </c>
      <c r="D2112" s="168" t="s">
        <v>6168</v>
      </c>
      <c r="E2112" s="168" t="s">
        <v>2362</v>
      </c>
      <c r="F2112" s="168" t="s">
        <v>1516</v>
      </c>
      <c r="G2112" s="168" t="s">
        <v>3324</v>
      </c>
      <c r="H2112" s="292" t="s">
        <v>4623</v>
      </c>
      <c r="I2112" s="293" t="s">
        <v>4623</v>
      </c>
      <c r="J2112" s="293" t="s">
        <v>4623</v>
      </c>
      <c r="K2112" s="290" t="s">
        <v>4623</v>
      </c>
      <c r="L2112" s="290" t="s">
        <v>4623</v>
      </c>
      <c r="M2112" s="290" t="s">
        <v>4623</v>
      </c>
      <c r="N2112" s="290" t="s">
        <v>4623</v>
      </c>
      <c r="O2112" s="290" t="s">
        <v>4623</v>
      </c>
      <c r="P2112" s="290" t="s">
        <v>999</v>
      </c>
      <c r="Q2112" s="291" t="s">
        <v>4623</v>
      </c>
      <c r="R2112" s="276"/>
      <c r="S2112" s="277">
        <f>IF(OR(C2112="",C2112=T$4),NA(),MATCH($B2112&amp;$C2112,'Smelter Reference List'!$J:$J,0))</f>
        <v>474</v>
      </c>
      <c r="T2112" s="278"/>
      <c r="U2112" s="278"/>
      <c r="V2112" s="278"/>
      <c r="W2112" s="278"/>
    </row>
    <row r="2113" spans="1:23" s="269" customFormat="1" ht="20.25">
      <c r="A2113" s="267"/>
      <c r="B2113" s="275" t="s">
        <v>2439</v>
      </c>
      <c r="C2113" s="275" t="s">
        <v>2902</v>
      </c>
      <c r="D2113" s="168" t="s">
        <v>2902</v>
      </c>
      <c r="E2113" s="168" t="s">
        <v>2294</v>
      </c>
      <c r="F2113" s="168" t="s">
        <v>2903</v>
      </c>
      <c r="G2113" s="168" t="s">
        <v>3324</v>
      </c>
      <c r="H2113" s="292" t="s">
        <v>4623</v>
      </c>
      <c r="I2113" s="293" t="s">
        <v>4623</v>
      </c>
      <c r="J2113" s="293" t="s">
        <v>4623</v>
      </c>
      <c r="K2113" s="290" t="s">
        <v>4623</v>
      </c>
      <c r="L2113" s="290" t="s">
        <v>4623</v>
      </c>
      <c r="M2113" s="290" t="s">
        <v>4623</v>
      </c>
      <c r="N2113" s="290" t="s">
        <v>4623</v>
      </c>
      <c r="O2113" s="290" t="s">
        <v>4623</v>
      </c>
      <c r="P2113" s="290" t="s">
        <v>999</v>
      </c>
      <c r="Q2113" s="291" t="s">
        <v>4623</v>
      </c>
      <c r="R2113" s="276"/>
      <c r="S2113" s="277">
        <f>IF(OR(C2113="",C2113=T$4),NA(),MATCH($B2113&amp;$C2113,'Smelter Reference List'!$J:$J,0))</f>
        <v>475</v>
      </c>
      <c r="T2113" s="278"/>
      <c r="U2113" s="278"/>
      <c r="V2113" s="278"/>
      <c r="W2113" s="278"/>
    </row>
    <row r="2114" spans="1:23" s="269" customFormat="1" ht="20.25">
      <c r="A2114" s="267"/>
      <c r="B2114" s="275" t="s">
        <v>2439</v>
      </c>
      <c r="C2114" s="275" t="s">
        <v>240</v>
      </c>
      <c r="D2114" s="168" t="s">
        <v>240</v>
      </c>
      <c r="E2114" s="168" t="s">
        <v>2294</v>
      </c>
      <c r="F2114" s="168" t="s">
        <v>220</v>
      </c>
      <c r="G2114" s="168" t="s">
        <v>3324</v>
      </c>
      <c r="H2114" s="292" t="s">
        <v>4623</v>
      </c>
      <c r="I2114" s="293" t="s">
        <v>4623</v>
      </c>
      <c r="J2114" s="293" t="s">
        <v>4623</v>
      </c>
      <c r="K2114" s="290" t="s">
        <v>4623</v>
      </c>
      <c r="L2114" s="290" t="s">
        <v>4623</v>
      </c>
      <c r="M2114" s="290" t="s">
        <v>4623</v>
      </c>
      <c r="N2114" s="290" t="s">
        <v>4623</v>
      </c>
      <c r="O2114" s="290" t="s">
        <v>4667</v>
      </c>
      <c r="P2114" s="290" t="s">
        <v>999</v>
      </c>
      <c r="Q2114" s="291" t="s">
        <v>4623</v>
      </c>
      <c r="R2114" s="276"/>
      <c r="S2114" s="277">
        <f>IF(OR(C2114="",C2114=T$4),NA(),MATCH($B2114&amp;$C2114,'Smelter Reference List'!$J:$J,0))</f>
        <v>476</v>
      </c>
      <c r="T2114" s="278"/>
      <c r="U2114" s="278"/>
      <c r="V2114" s="278"/>
      <c r="W2114" s="278"/>
    </row>
    <row r="2115" spans="1:23" s="269" customFormat="1" ht="20.25">
      <c r="A2115" s="267"/>
      <c r="B2115" s="275" t="s">
        <v>2439</v>
      </c>
      <c r="C2115" s="275" t="s">
        <v>1570</v>
      </c>
      <c r="D2115" s="168" t="s">
        <v>7918</v>
      </c>
      <c r="E2115" s="168" t="s">
        <v>2294</v>
      </c>
      <c r="F2115" s="168" t="s">
        <v>1525</v>
      </c>
      <c r="G2115" s="168" t="s">
        <v>3324</v>
      </c>
      <c r="H2115" s="292" t="s">
        <v>4623</v>
      </c>
      <c r="I2115" s="293" t="s">
        <v>4623</v>
      </c>
      <c r="J2115" s="293" t="s">
        <v>4623</v>
      </c>
      <c r="K2115" s="290" t="s">
        <v>4623</v>
      </c>
      <c r="L2115" s="290" t="s">
        <v>4623</v>
      </c>
      <c r="M2115" s="290" t="s">
        <v>4623</v>
      </c>
      <c r="N2115" s="290" t="s">
        <v>4623</v>
      </c>
      <c r="O2115" s="290" t="s">
        <v>4667</v>
      </c>
      <c r="P2115" s="290" t="s">
        <v>999</v>
      </c>
      <c r="Q2115" s="291" t="s">
        <v>4623</v>
      </c>
      <c r="R2115" s="276"/>
      <c r="S2115" s="277">
        <f>IF(OR(C2115="",C2115=T$4),NA(),MATCH($B2115&amp;$C2115,'Smelter Reference List'!$J:$J,0))</f>
        <v>477</v>
      </c>
      <c r="T2115" s="278"/>
      <c r="U2115" s="278"/>
      <c r="V2115" s="278"/>
      <c r="W2115" s="278"/>
    </row>
    <row r="2116" spans="1:23" s="269" customFormat="1" ht="20.25">
      <c r="A2116" s="267"/>
      <c r="B2116" s="275" t="s">
        <v>2439</v>
      </c>
      <c r="C2116" s="275" t="s">
        <v>237</v>
      </c>
      <c r="D2116" s="168" t="s">
        <v>7919</v>
      </c>
      <c r="E2116" s="168" t="s">
        <v>2294</v>
      </c>
      <c r="F2116" s="168" t="s">
        <v>225</v>
      </c>
      <c r="G2116" s="168" t="s">
        <v>3324</v>
      </c>
      <c r="H2116" s="292" t="s">
        <v>4623</v>
      </c>
      <c r="I2116" s="293" t="s">
        <v>4623</v>
      </c>
      <c r="J2116" s="293" t="s">
        <v>4623</v>
      </c>
      <c r="K2116" s="290" t="s">
        <v>4623</v>
      </c>
      <c r="L2116" s="290" t="s">
        <v>4623</v>
      </c>
      <c r="M2116" s="290" t="s">
        <v>4623</v>
      </c>
      <c r="N2116" s="290" t="s">
        <v>4623</v>
      </c>
      <c r="O2116" s="290" t="s">
        <v>4667</v>
      </c>
      <c r="P2116" s="290" t="s">
        <v>999</v>
      </c>
      <c r="Q2116" s="291" t="s">
        <v>4623</v>
      </c>
      <c r="R2116" s="276"/>
      <c r="S2116" s="277">
        <f>IF(OR(C2116="",C2116=T$4),NA(),MATCH($B2116&amp;$C2116,'Smelter Reference List'!$J:$J,0))</f>
        <v>478</v>
      </c>
      <c r="T2116" s="278"/>
      <c r="U2116" s="278"/>
      <c r="V2116" s="278"/>
      <c r="W2116" s="278"/>
    </row>
    <row r="2117" spans="1:23" s="269" customFormat="1" ht="20.25">
      <c r="A2117" s="267"/>
      <c r="B2117" s="275" t="s">
        <v>2439</v>
      </c>
      <c r="C2117" s="275" t="s">
        <v>236</v>
      </c>
      <c r="D2117" s="168" t="s">
        <v>236</v>
      </c>
      <c r="E2117" s="168" t="s">
        <v>2294</v>
      </c>
      <c r="F2117" s="168" t="s">
        <v>224</v>
      </c>
      <c r="G2117" s="168" t="s">
        <v>3324</v>
      </c>
      <c r="H2117" s="292" t="s">
        <v>4623</v>
      </c>
      <c r="I2117" s="293" t="s">
        <v>4623</v>
      </c>
      <c r="J2117" s="293" t="s">
        <v>4623</v>
      </c>
      <c r="K2117" s="290" t="s">
        <v>4623</v>
      </c>
      <c r="L2117" s="290" t="s">
        <v>4623</v>
      </c>
      <c r="M2117" s="290" t="s">
        <v>4623</v>
      </c>
      <c r="N2117" s="290" t="s">
        <v>4623</v>
      </c>
      <c r="O2117" s="290" t="s">
        <v>4667</v>
      </c>
      <c r="P2117" s="290" t="s">
        <v>999</v>
      </c>
      <c r="Q2117" s="291" t="s">
        <v>4623</v>
      </c>
      <c r="R2117" s="276"/>
      <c r="S2117" s="277">
        <f>IF(OR(C2117="",C2117=T$4),NA(),MATCH($B2117&amp;$C2117,'Smelter Reference List'!$J:$J,0))</f>
        <v>481</v>
      </c>
      <c r="T2117" s="278"/>
      <c r="U2117" s="278"/>
      <c r="V2117" s="278"/>
      <c r="W2117" s="278"/>
    </row>
    <row r="2118" spans="1:23" s="269" customFormat="1" ht="20.25">
      <c r="A2118" s="267"/>
      <c r="B2118" s="275" t="s">
        <v>2439</v>
      </c>
      <c r="C2118" s="275" t="s">
        <v>2865</v>
      </c>
      <c r="D2118" s="168" t="s">
        <v>2865</v>
      </c>
      <c r="E2118" s="168" t="s">
        <v>2294</v>
      </c>
      <c r="F2118" s="168" t="s">
        <v>2866</v>
      </c>
      <c r="G2118" s="168" t="s">
        <v>3324</v>
      </c>
      <c r="H2118" s="292" t="s">
        <v>4623</v>
      </c>
      <c r="I2118" s="293" t="s">
        <v>4623</v>
      </c>
      <c r="J2118" s="293" t="s">
        <v>4623</v>
      </c>
      <c r="K2118" s="290" t="s">
        <v>4623</v>
      </c>
      <c r="L2118" s="290" t="s">
        <v>4623</v>
      </c>
      <c r="M2118" s="290" t="s">
        <v>4623</v>
      </c>
      <c r="N2118" s="290" t="s">
        <v>4623</v>
      </c>
      <c r="O2118" s="290" t="s">
        <v>4623</v>
      </c>
      <c r="P2118" s="290" t="s">
        <v>999</v>
      </c>
      <c r="Q2118" s="291" t="s">
        <v>4623</v>
      </c>
      <c r="R2118" s="276"/>
      <c r="S2118" s="277">
        <f>IF(OR(C2118="",C2118=T$4),NA(),MATCH($B2118&amp;$C2118,'Smelter Reference List'!$J:$J,0))</f>
        <v>482</v>
      </c>
      <c r="T2118" s="278"/>
      <c r="U2118" s="278"/>
      <c r="V2118" s="278"/>
      <c r="W2118" s="278"/>
    </row>
    <row r="2119" spans="1:23" s="269" customFormat="1" ht="20.25">
      <c r="A2119" s="267"/>
      <c r="B2119" s="275" t="s">
        <v>2439</v>
      </c>
      <c r="C2119" s="275" t="s">
        <v>235</v>
      </c>
      <c r="D2119" s="168" t="s">
        <v>235</v>
      </c>
      <c r="E2119" s="168" t="s">
        <v>2294</v>
      </c>
      <c r="F2119" s="168" t="s">
        <v>223</v>
      </c>
      <c r="G2119" s="168" t="s">
        <v>3324</v>
      </c>
      <c r="H2119" s="292" t="s">
        <v>4623</v>
      </c>
      <c r="I2119" s="293" t="s">
        <v>4623</v>
      </c>
      <c r="J2119" s="293" t="s">
        <v>4623</v>
      </c>
      <c r="K2119" s="290" t="s">
        <v>4623</v>
      </c>
      <c r="L2119" s="290" t="s">
        <v>4623</v>
      </c>
      <c r="M2119" s="290" t="s">
        <v>4623</v>
      </c>
      <c r="N2119" s="290" t="s">
        <v>4623</v>
      </c>
      <c r="O2119" s="290" t="s">
        <v>4623</v>
      </c>
      <c r="P2119" s="290" t="s">
        <v>999</v>
      </c>
      <c r="Q2119" s="291" t="s">
        <v>4623</v>
      </c>
      <c r="R2119" s="276"/>
      <c r="S2119" s="277">
        <f>IF(OR(C2119="",C2119=T$4),NA(),MATCH($B2119&amp;$C2119,'Smelter Reference List'!$J:$J,0))</f>
        <v>483</v>
      </c>
      <c r="T2119" s="278"/>
      <c r="U2119" s="278"/>
      <c r="V2119" s="278"/>
      <c r="W2119" s="278"/>
    </row>
    <row r="2120" spans="1:23" s="269" customFormat="1" ht="20.25">
      <c r="A2120" s="267"/>
      <c r="B2120" s="275" t="s">
        <v>2439</v>
      </c>
      <c r="C2120" s="275" t="s">
        <v>233</v>
      </c>
      <c r="D2120" s="168" t="s">
        <v>233</v>
      </c>
      <c r="E2120" s="168" t="s">
        <v>1867</v>
      </c>
      <c r="F2120" s="168" t="s">
        <v>1519</v>
      </c>
      <c r="G2120" s="168" t="s">
        <v>3324</v>
      </c>
      <c r="H2120" s="292" t="s">
        <v>4623</v>
      </c>
      <c r="I2120" s="293" t="s">
        <v>4623</v>
      </c>
      <c r="J2120" s="293" t="s">
        <v>4623</v>
      </c>
      <c r="K2120" s="290" t="s">
        <v>4623</v>
      </c>
      <c r="L2120" s="290" t="s">
        <v>4623</v>
      </c>
      <c r="M2120" s="290" t="s">
        <v>4623</v>
      </c>
      <c r="N2120" s="290" t="s">
        <v>4623</v>
      </c>
      <c r="O2120" s="290" t="s">
        <v>4623</v>
      </c>
      <c r="P2120" s="290" t="s">
        <v>999</v>
      </c>
      <c r="Q2120" s="291" t="s">
        <v>4623</v>
      </c>
      <c r="R2120" s="276"/>
      <c r="S2120" s="277">
        <f>IF(OR(C2120="",C2120=T$4),NA(),MATCH($B2120&amp;$C2120,'Smelter Reference List'!$J:$J,0))</f>
        <v>484</v>
      </c>
      <c r="T2120" s="278"/>
      <c r="U2120" s="278"/>
      <c r="V2120" s="278"/>
      <c r="W2120" s="278"/>
    </row>
    <row r="2121" spans="1:23" s="269" customFormat="1" ht="20.25">
      <c r="A2121" s="267"/>
      <c r="B2121" s="275" t="s">
        <v>2439</v>
      </c>
      <c r="C2121" s="275" t="s">
        <v>238</v>
      </c>
      <c r="D2121" s="168" t="s">
        <v>238</v>
      </c>
      <c r="E2121" s="168" t="s">
        <v>2294</v>
      </c>
      <c r="F2121" s="168" t="s">
        <v>226</v>
      </c>
      <c r="G2121" s="168" t="s">
        <v>3324</v>
      </c>
      <c r="H2121" s="292" t="s">
        <v>4623</v>
      </c>
      <c r="I2121" s="293" t="s">
        <v>4623</v>
      </c>
      <c r="J2121" s="293" t="s">
        <v>4623</v>
      </c>
      <c r="K2121" s="290" t="s">
        <v>4623</v>
      </c>
      <c r="L2121" s="290" t="s">
        <v>4623</v>
      </c>
      <c r="M2121" s="290" t="s">
        <v>4623</v>
      </c>
      <c r="N2121" s="290" t="s">
        <v>4623</v>
      </c>
      <c r="O2121" s="290" t="s">
        <v>4667</v>
      </c>
      <c r="P2121" s="290" t="s">
        <v>999</v>
      </c>
      <c r="Q2121" s="291" t="s">
        <v>4623</v>
      </c>
      <c r="R2121" s="276"/>
      <c r="S2121" s="277">
        <f>IF(OR(C2121="",C2121=T$4),NA(),MATCH($B2121&amp;$C2121,'Smelter Reference List'!$J:$J,0))</f>
        <v>486</v>
      </c>
      <c r="T2121" s="278"/>
      <c r="U2121" s="278"/>
      <c r="V2121" s="278"/>
      <c r="W2121" s="278"/>
    </row>
    <row r="2122" spans="1:23" s="269" customFormat="1" ht="20.25">
      <c r="A2122" s="267"/>
      <c r="B2122" s="275" t="s">
        <v>2439</v>
      </c>
      <c r="C2122" s="275" t="s">
        <v>3820</v>
      </c>
      <c r="D2122" s="168" t="s">
        <v>7920</v>
      </c>
      <c r="E2122" s="168" t="s">
        <v>1867</v>
      </c>
      <c r="F2122" s="168" t="s">
        <v>3821</v>
      </c>
      <c r="G2122" s="168" t="s">
        <v>3324</v>
      </c>
      <c r="H2122" s="292" t="s">
        <v>4623</v>
      </c>
      <c r="I2122" s="293" t="s">
        <v>4623</v>
      </c>
      <c r="J2122" s="293" t="s">
        <v>4623</v>
      </c>
      <c r="K2122" s="290" t="s">
        <v>4623</v>
      </c>
      <c r="L2122" s="290" t="s">
        <v>4623</v>
      </c>
      <c r="M2122" s="290" t="s">
        <v>4623</v>
      </c>
      <c r="N2122" s="290" t="s">
        <v>4623</v>
      </c>
      <c r="O2122" s="290" t="s">
        <v>4623</v>
      </c>
      <c r="P2122" s="290" t="s">
        <v>999</v>
      </c>
      <c r="Q2122" s="291" t="s">
        <v>4623</v>
      </c>
      <c r="R2122" s="276"/>
      <c r="S2122" s="277">
        <f>IF(OR(C2122="",C2122=T$4),NA(),MATCH($B2122&amp;$C2122,'Smelter Reference List'!$J:$J,0))</f>
        <v>487</v>
      </c>
      <c r="T2122" s="278"/>
      <c r="U2122" s="278"/>
      <c r="V2122" s="278"/>
      <c r="W2122" s="278"/>
    </row>
    <row r="2123" spans="1:23" s="269" customFormat="1" ht="20.25">
      <c r="A2123" s="267"/>
      <c r="B2123" s="275" t="s">
        <v>2439</v>
      </c>
      <c r="C2123" s="275" t="s">
        <v>2905</v>
      </c>
      <c r="D2123" s="168" t="s">
        <v>7921</v>
      </c>
      <c r="E2123" s="168" t="s">
        <v>1874</v>
      </c>
      <c r="F2123" s="168" t="s">
        <v>2904</v>
      </c>
      <c r="G2123" s="168" t="s">
        <v>3324</v>
      </c>
      <c r="H2123" s="292" t="s">
        <v>4623</v>
      </c>
      <c r="I2123" s="293" t="s">
        <v>4623</v>
      </c>
      <c r="J2123" s="293" t="s">
        <v>4623</v>
      </c>
      <c r="K2123" s="290" t="s">
        <v>4623</v>
      </c>
      <c r="L2123" s="290" t="s">
        <v>4623</v>
      </c>
      <c r="M2123" s="290" t="s">
        <v>4623</v>
      </c>
      <c r="N2123" s="290" t="s">
        <v>4623</v>
      </c>
      <c r="O2123" s="290" t="s">
        <v>4623</v>
      </c>
      <c r="P2123" s="290" t="s">
        <v>999</v>
      </c>
      <c r="Q2123" s="291" t="s">
        <v>4623</v>
      </c>
      <c r="R2123" s="276"/>
      <c r="S2123" s="277">
        <f>IF(OR(C2123="",C2123=T$4),NA(),MATCH($B2123&amp;$C2123,'Smelter Reference List'!$J:$J,0))</f>
        <v>488</v>
      </c>
      <c r="T2123" s="278"/>
      <c r="U2123" s="278"/>
      <c r="V2123" s="278"/>
      <c r="W2123" s="278"/>
    </row>
    <row r="2124" spans="1:23" s="269" customFormat="1" ht="20.25">
      <c r="A2124" s="267"/>
      <c r="B2124" s="275" t="s">
        <v>2439</v>
      </c>
      <c r="C2124" s="275" t="s">
        <v>3807</v>
      </c>
      <c r="D2124" s="168" t="s">
        <v>7922</v>
      </c>
      <c r="E2124" s="168" t="s">
        <v>1825</v>
      </c>
      <c r="F2124" s="168" t="s">
        <v>3808</v>
      </c>
      <c r="G2124" s="168" t="s">
        <v>3324</v>
      </c>
      <c r="H2124" s="292" t="s">
        <v>4623</v>
      </c>
      <c r="I2124" s="293" t="s">
        <v>4623</v>
      </c>
      <c r="J2124" s="293" t="s">
        <v>4623</v>
      </c>
      <c r="K2124" s="290" t="s">
        <v>4623</v>
      </c>
      <c r="L2124" s="290" t="s">
        <v>4623</v>
      </c>
      <c r="M2124" s="290" t="s">
        <v>4623</v>
      </c>
      <c r="N2124" s="290" t="s">
        <v>4623</v>
      </c>
      <c r="O2124" s="290" t="s">
        <v>4623</v>
      </c>
      <c r="P2124" s="290" t="s">
        <v>999</v>
      </c>
      <c r="Q2124" s="291" t="s">
        <v>4623</v>
      </c>
      <c r="R2124" s="276"/>
      <c r="S2124" s="277">
        <f>IF(OR(C2124="",C2124=T$4),NA(),MATCH($B2124&amp;$C2124,'Smelter Reference List'!$J:$J,0))</f>
        <v>489</v>
      </c>
      <c r="T2124" s="278"/>
      <c r="U2124" s="278"/>
      <c r="V2124" s="278"/>
      <c r="W2124" s="278"/>
    </row>
    <row r="2125" spans="1:23" s="269" customFormat="1" ht="20.25">
      <c r="A2125" s="267"/>
      <c r="B2125" s="275" t="s">
        <v>2439</v>
      </c>
      <c r="C2125" s="275" t="s">
        <v>2867</v>
      </c>
      <c r="D2125" s="168" t="s">
        <v>2867</v>
      </c>
      <c r="E2125" s="168" t="s">
        <v>1874</v>
      </c>
      <c r="F2125" s="168" t="s">
        <v>2868</v>
      </c>
      <c r="G2125" s="168" t="s">
        <v>3324</v>
      </c>
      <c r="H2125" s="292" t="s">
        <v>4623</v>
      </c>
      <c r="I2125" s="293" t="s">
        <v>4623</v>
      </c>
      <c r="J2125" s="293" t="s">
        <v>4623</v>
      </c>
      <c r="K2125" s="290" t="s">
        <v>4623</v>
      </c>
      <c r="L2125" s="290" t="s">
        <v>4623</v>
      </c>
      <c r="M2125" s="290" t="s">
        <v>4623</v>
      </c>
      <c r="N2125" s="290" t="s">
        <v>4623</v>
      </c>
      <c r="O2125" s="290" t="s">
        <v>4623</v>
      </c>
      <c r="P2125" s="290" t="s">
        <v>999</v>
      </c>
      <c r="Q2125" s="291" t="s">
        <v>4623</v>
      </c>
      <c r="R2125" s="276"/>
      <c r="S2125" s="277">
        <f>IF(OR(C2125="",C2125=T$4),NA(),MATCH($B2125&amp;$C2125,'Smelter Reference List'!$J:$J,0))</f>
        <v>490</v>
      </c>
      <c r="T2125" s="278"/>
      <c r="U2125" s="278"/>
      <c r="V2125" s="278"/>
      <c r="W2125" s="278"/>
    </row>
    <row r="2126" spans="1:23" s="269" customFormat="1" ht="20.25">
      <c r="A2126" s="267"/>
      <c r="B2126" s="275" t="s">
        <v>2439</v>
      </c>
      <c r="C2126" s="275" t="s">
        <v>3797</v>
      </c>
      <c r="D2126" s="168" t="s">
        <v>1571</v>
      </c>
      <c r="E2126" s="168" t="s">
        <v>2294</v>
      </c>
      <c r="F2126" s="168" t="s">
        <v>1524</v>
      </c>
      <c r="G2126" s="168" t="s">
        <v>3324</v>
      </c>
      <c r="H2126" s="292" t="s">
        <v>4623</v>
      </c>
      <c r="I2126" s="293" t="s">
        <v>4623</v>
      </c>
      <c r="J2126" s="293" t="s">
        <v>4623</v>
      </c>
      <c r="K2126" s="290" t="s">
        <v>4623</v>
      </c>
      <c r="L2126" s="290" t="s">
        <v>4623</v>
      </c>
      <c r="M2126" s="290" t="s">
        <v>4623</v>
      </c>
      <c r="N2126" s="290" t="s">
        <v>4623</v>
      </c>
      <c r="O2126" s="290" t="s">
        <v>4623</v>
      </c>
      <c r="P2126" s="290" t="s">
        <v>999</v>
      </c>
      <c r="Q2126" s="291" t="s">
        <v>4623</v>
      </c>
      <c r="R2126" s="276"/>
      <c r="S2126" s="277">
        <f>IF(OR(C2126="",C2126=T$4),NA(),MATCH($B2126&amp;$C2126,'Smelter Reference List'!$J:$J,0))</f>
        <v>491</v>
      </c>
      <c r="T2126" s="278"/>
      <c r="U2126" s="278"/>
      <c r="V2126" s="278"/>
      <c r="W2126" s="278"/>
    </row>
    <row r="2127" spans="1:23" s="269" customFormat="1" ht="20.25">
      <c r="A2127" s="267"/>
      <c r="B2127" s="275" t="s">
        <v>2439</v>
      </c>
      <c r="C2127" s="275" t="s">
        <v>3831</v>
      </c>
      <c r="D2127" s="168" t="s">
        <v>6055</v>
      </c>
      <c r="E2127" s="168" t="s">
        <v>2268</v>
      </c>
      <c r="F2127" s="168" t="s">
        <v>4623</v>
      </c>
      <c r="G2127" s="168" t="s">
        <v>4623</v>
      </c>
      <c r="H2127" s="292" t="s">
        <v>7923</v>
      </c>
      <c r="I2127" s="293" t="s">
        <v>6045</v>
      </c>
      <c r="J2127" s="293" t="s">
        <v>7924</v>
      </c>
      <c r="K2127" s="290" t="s">
        <v>7925</v>
      </c>
      <c r="L2127" s="290" t="s">
        <v>4623</v>
      </c>
      <c r="M2127" s="290" t="s">
        <v>4623</v>
      </c>
      <c r="N2127" s="290" t="s">
        <v>4623</v>
      </c>
      <c r="O2127" s="290" t="s">
        <v>6790</v>
      </c>
      <c r="P2127" s="290" t="s">
        <v>999</v>
      </c>
      <c r="Q2127" s="291" t="s">
        <v>4623</v>
      </c>
      <c r="R2127" s="276"/>
      <c r="S2127" s="277">
        <f>IF(OR(C2127="",C2127=T$4),NA(),MATCH($B2127&amp;$C2127,'Smelter Reference List'!$J:$J,0))</f>
        <v>502</v>
      </c>
      <c r="T2127" s="278"/>
      <c r="U2127" s="278"/>
      <c r="V2127" s="278"/>
      <c r="W2127" s="278"/>
    </row>
    <row r="2128" spans="1:23" s="269" customFormat="1" ht="20.25">
      <c r="A2128" s="267"/>
      <c r="B2128" s="275" t="s">
        <v>2439</v>
      </c>
      <c r="C2128" s="275" t="s">
        <v>3831</v>
      </c>
      <c r="D2128" s="168" t="s">
        <v>7926</v>
      </c>
      <c r="E2128" s="168" t="s">
        <v>2268</v>
      </c>
      <c r="F2128" s="168" t="s">
        <v>4623</v>
      </c>
      <c r="G2128" s="168" t="s">
        <v>4623</v>
      </c>
      <c r="H2128" s="292" t="s">
        <v>4623</v>
      </c>
      <c r="I2128" s="293" t="s">
        <v>7927</v>
      </c>
      <c r="J2128" s="293" t="s">
        <v>4623</v>
      </c>
      <c r="K2128" s="290" t="s">
        <v>4623</v>
      </c>
      <c r="L2128" s="290" t="s">
        <v>4623</v>
      </c>
      <c r="M2128" s="290" t="s">
        <v>4623</v>
      </c>
      <c r="N2128" s="290" t="s">
        <v>4623</v>
      </c>
      <c r="O2128" s="290" t="s">
        <v>4623</v>
      </c>
      <c r="P2128" s="290" t="s">
        <v>999</v>
      </c>
      <c r="Q2128" s="291" t="s">
        <v>4623</v>
      </c>
      <c r="R2128" s="276"/>
      <c r="S2128" s="277">
        <f>IF(OR(C2128="",C2128=T$4),NA(),MATCH($B2128&amp;$C2128,'Smelter Reference List'!$J:$J,0))</f>
        <v>502</v>
      </c>
      <c r="T2128" s="278"/>
      <c r="U2128" s="278"/>
      <c r="V2128" s="278"/>
      <c r="W2128" s="278"/>
    </row>
    <row r="2129" spans="1:23" s="269" customFormat="1" ht="20.25">
      <c r="A2129" s="267"/>
      <c r="B2129" s="275" t="s">
        <v>2439</v>
      </c>
      <c r="C2129" s="275" t="s">
        <v>3831</v>
      </c>
      <c r="D2129" s="168" t="s">
        <v>4855</v>
      </c>
      <c r="E2129" s="168" t="s">
        <v>2271</v>
      </c>
      <c r="F2129" s="168" t="s">
        <v>4623</v>
      </c>
      <c r="G2129" s="168" t="s">
        <v>4623</v>
      </c>
      <c r="H2129" s="292" t="s">
        <v>4623</v>
      </c>
      <c r="I2129" s="293" t="s">
        <v>4623</v>
      </c>
      <c r="J2129" s="293" t="s">
        <v>4623</v>
      </c>
      <c r="K2129" s="290" t="s">
        <v>4623</v>
      </c>
      <c r="L2129" s="290" t="s">
        <v>4623</v>
      </c>
      <c r="M2129" s="290" t="s">
        <v>4623</v>
      </c>
      <c r="N2129" s="290" t="s">
        <v>4623</v>
      </c>
      <c r="O2129" s="290" t="s">
        <v>4623</v>
      </c>
      <c r="P2129" s="290" t="s">
        <v>999</v>
      </c>
      <c r="Q2129" s="291" t="s">
        <v>4623</v>
      </c>
      <c r="R2129" s="276"/>
      <c r="S2129" s="277">
        <f>IF(OR(C2129="",C2129=T$4),NA(),MATCH($B2129&amp;$C2129,'Smelter Reference List'!$J:$J,0))</f>
        <v>502</v>
      </c>
      <c r="T2129" s="278"/>
      <c r="U2129" s="278"/>
      <c r="V2129" s="278"/>
      <c r="W2129" s="278"/>
    </row>
    <row r="2130" spans="1:23" s="269" customFormat="1" ht="20.25">
      <c r="A2130" s="267"/>
      <c r="B2130" s="275" t="s">
        <v>2439</v>
      </c>
      <c r="C2130" s="275" t="s">
        <v>3831</v>
      </c>
      <c r="D2130" s="168" t="s">
        <v>7928</v>
      </c>
      <c r="E2130" s="168" t="s">
        <v>2271</v>
      </c>
      <c r="F2130" s="168" t="s">
        <v>4623</v>
      </c>
      <c r="G2130" s="168" t="s">
        <v>4623</v>
      </c>
      <c r="H2130" s="292" t="s">
        <v>4623</v>
      </c>
      <c r="I2130" s="293" t="s">
        <v>4623</v>
      </c>
      <c r="J2130" s="293" t="s">
        <v>4623</v>
      </c>
      <c r="K2130" s="290" t="s">
        <v>4623</v>
      </c>
      <c r="L2130" s="290" t="s">
        <v>4623</v>
      </c>
      <c r="M2130" s="290" t="s">
        <v>4623</v>
      </c>
      <c r="N2130" s="290" t="s">
        <v>4623</v>
      </c>
      <c r="O2130" s="290" t="s">
        <v>4623</v>
      </c>
      <c r="P2130" s="290" t="s">
        <v>999</v>
      </c>
      <c r="Q2130" s="291" t="s">
        <v>4623</v>
      </c>
      <c r="R2130" s="276"/>
      <c r="S2130" s="277">
        <f>IF(OR(C2130="",C2130=T$4),NA(),MATCH($B2130&amp;$C2130,'Smelter Reference List'!$J:$J,0))</f>
        <v>502</v>
      </c>
      <c r="T2130" s="278"/>
      <c r="U2130" s="278"/>
      <c r="V2130" s="278"/>
      <c r="W2130" s="278"/>
    </row>
    <row r="2131" spans="1:23" s="269" customFormat="1" ht="20.25">
      <c r="A2131" s="267"/>
      <c r="B2131" s="275" t="s">
        <v>2439</v>
      </c>
      <c r="C2131" s="275" t="s">
        <v>3831</v>
      </c>
      <c r="D2131" s="168" t="s">
        <v>7914</v>
      </c>
      <c r="E2131" s="168" t="s">
        <v>2283</v>
      </c>
      <c r="F2131" s="168" t="s">
        <v>4623</v>
      </c>
      <c r="G2131" s="168" t="s">
        <v>4623</v>
      </c>
      <c r="H2131" s="292" t="s">
        <v>4623</v>
      </c>
      <c r="I2131" s="293" t="s">
        <v>4623</v>
      </c>
      <c r="J2131" s="293" t="s">
        <v>4623</v>
      </c>
      <c r="K2131" s="290" t="s">
        <v>4623</v>
      </c>
      <c r="L2131" s="290" t="s">
        <v>4623</v>
      </c>
      <c r="M2131" s="290" t="s">
        <v>4623</v>
      </c>
      <c r="N2131" s="290" t="s">
        <v>4623</v>
      </c>
      <c r="O2131" s="290" t="s">
        <v>4623</v>
      </c>
      <c r="P2131" s="290" t="s">
        <v>999</v>
      </c>
      <c r="Q2131" s="291" t="s">
        <v>4623</v>
      </c>
      <c r="R2131" s="276"/>
      <c r="S2131" s="277">
        <f>IF(OR(C2131="",C2131=T$4),NA(),MATCH($B2131&amp;$C2131,'Smelter Reference List'!$J:$J,0))</f>
        <v>502</v>
      </c>
      <c r="T2131" s="278"/>
      <c r="U2131" s="278"/>
      <c r="V2131" s="278"/>
      <c r="W2131" s="278"/>
    </row>
    <row r="2132" spans="1:23" s="269" customFormat="1" ht="20.25">
      <c r="A2132" s="267"/>
      <c r="B2132" s="275" t="s">
        <v>2439</v>
      </c>
      <c r="C2132" s="275" t="s">
        <v>3831</v>
      </c>
      <c r="D2132" s="168" t="s">
        <v>4905</v>
      </c>
      <c r="E2132" s="168" t="s">
        <v>2290</v>
      </c>
      <c r="F2132" s="168" t="s">
        <v>4623</v>
      </c>
      <c r="G2132" s="168" t="s">
        <v>4623</v>
      </c>
      <c r="H2132" s="292" t="s">
        <v>4907</v>
      </c>
      <c r="I2132" s="293" t="s">
        <v>4908</v>
      </c>
      <c r="J2132" s="293" t="s">
        <v>7929</v>
      </c>
      <c r="K2132" s="290" t="s">
        <v>4909</v>
      </c>
      <c r="L2132" s="290" t="s">
        <v>4905</v>
      </c>
      <c r="M2132" s="290" t="s">
        <v>4801</v>
      </c>
      <c r="N2132" s="290" t="s">
        <v>4623</v>
      </c>
      <c r="O2132" s="290" t="s">
        <v>6092</v>
      </c>
      <c r="P2132" s="290" t="s">
        <v>999</v>
      </c>
      <c r="Q2132" s="291" t="s">
        <v>4623</v>
      </c>
      <c r="R2132" s="276"/>
      <c r="S2132" s="277">
        <f>IF(OR(C2132="",C2132=T$4),NA(),MATCH($B2132&amp;$C2132,'Smelter Reference List'!$J:$J,0))</f>
        <v>502</v>
      </c>
      <c r="T2132" s="278"/>
      <c r="U2132" s="278"/>
      <c r="V2132" s="278"/>
      <c r="W2132" s="278"/>
    </row>
    <row r="2133" spans="1:23" s="269" customFormat="1" ht="20.25">
      <c r="A2133" s="267"/>
      <c r="B2133" s="275" t="s">
        <v>2439</v>
      </c>
      <c r="C2133" s="275" t="s">
        <v>3831</v>
      </c>
      <c r="D2133" s="168" t="s">
        <v>7930</v>
      </c>
      <c r="E2133" s="168" t="s">
        <v>2290</v>
      </c>
      <c r="F2133" s="168" t="s">
        <v>4623</v>
      </c>
      <c r="G2133" s="168" t="s">
        <v>4623</v>
      </c>
      <c r="H2133" s="292" t="s">
        <v>6490</v>
      </c>
      <c r="I2133" s="293" t="s">
        <v>4906</v>
      </c>
      <c r="J2133" s="293" t="s">
        <v>6491</v>
      </c>
      <c r="K2133" s="290" t="s">
        <v>7931</v>
      </c>
      <c r="L2133" s="290" t="s">
        <v>7932</v>
      </c>
      <c r="M2133" s="290" t="s">
        <v>4623</v>
      </c>
      <c r="N2133" s="290" t="s">
        <v>4623</v>
      </c>
      <c r="O2133" s="290" t="s">
        <v>4623</v>
      </c>
      <c r="P2133" s="290" t="s">
        <v>999</v>
      </c>
      <c r="Q2133" s="291" t="s">
        <v>4623</v>
      </c>
      <c r="R2133" s="276"/>
      <c r="S2133" s="277">
        <f>IF(OR(C2133="",C2133=T$4),NA(),MATCH($B2133&amp;$C2133,'Smelter Reference List'!$J:$J,0))</f>
        <v>502</v>
      </c>
      <c r="T2133" s="278"/>
      <c r="U2133" s="278"/>
      <c r="V2133" s="278"/>
      <c r="W2133" s="278"/>
    </row>
    <row r="2134" spans="1:23" s="269" customFormat="1" ht="20.25">
      <c r="A2134" s="267"/>
      <c r="B2134" s="275" t="s">
        <v>2439</v>
      </c>
      <c r="C2134" s="275" t="s">
        <v>3831</v>
      </c>
      <c r="D2134" s="168" t="s">
        <v>7933</v>
      </c>
      <c r="E2134" s="168" t="s">
        <v>2294</v>
      </c>
      <c r="F2134" s="168" t="s">
        <v>4623</v>
      </c>
      <c r="G2134" s="168" t="s">
        <v>4623</v>
      </c>
      <c r="H2134" s="292" t="s">
        <v>4623</v>
      </c>
      <c r="I2134" s="293" t="s">
        <v>7934</v>
      </c>
      <c r="J2134" s="293" t="s">
        <v>4623</v>
      </c>
      <c r="K2134" s="290" t="s">
        <v>4623</v>
      </c>
      <c r="L2134" s="290" t="s">
        <v>4623</v>
      </c>
      <c r="M2134" s="290" t="s">
        <v>4623</v>
      </c>
      <c r="N2134" s="290" t="s">
        <v>4623</v>
      </c>
      <c r="O2134" s="290" t="s">
        <v>4623</v>
      </c>
      <c r="P2134" s="290" t="s">
        <v>999</v>
      </c>
      <c r="Q2134" s="291" t="s">
        <v>4623</v>
      </c>
      <c r="R2134" s="276"/>
      <c r="S2134" s="277">
        <f>IF(OR(C2134="",C2134=T$4),NA(),MATCH($B2134&amp;$C2134,'Smelter Reference List'!$J:$J,0))</f>
        <v>502</v>
      </c>
      <c r="T2134" s="278"/>
      <c r="U2134" s="278"/>
      <c r="V2134" s="278"/>
      <c r="W2134" s="278"/>
    </row>
    <row r="2135" spans="1:23" s="269" customFormat="1" ht="20.25">
      <c r="A2135" s="267"/>
      <c r="B2135" s="275" t="s">
        <v>2439</v>
      </c>
      <c r="C2135" s="275" t="s">
        <v>3831</v>
      </c>
      <c r="D2135" s="168" t="s">
        <v>6081</v>
      </c>
      <c r="E2135" s="168" t="s">
        <v>2294</v>
      </c>
      <c r="F2135" s="168" t="s">
        <v>4623</v>
      </c>
      <c r="G2135" s="168" t="s">
        <v>4623</v>
      </c>
      <c r="H2135" s="292" t="s">
        <v>4383</v>
      </c>
      <c r="I2135" s="293" t="s">
        <v>4384</v>
      </c>
      <c r="J2135" s="293" t="s">
        <v>7935</v>
      </c>
      <c r="K2135" s="290" t="s">
        <v>7936</v>
      </c>
      <c r="L2135" s="290" t="s">
        <v>4623</v>
      </c>
      <c r="M2135" s="290" t="s">
        <v>4623</v>
      </c>
      <c r="N2135" s="290" t="s">
        <v>7937</v>
      </c>
      <c r="O2135" s="290" t="s">
        <v>4623</v>
      </c>
      <c r="P2135" s="290" t="s">
        <v>999</v>
      </c>
      <c r="Q2135" s="291" t="s">
        <v>4623</v>
      </c>
      <c r="R2135" s="276"/>
      <c r="S2135" s="277">
        <f>IF(OR(C2135="",C2135=T$4),NA(),MATCH($B2135&amp;$C2135,'Smelter Reference List'!$J:$J,0))</f>
        <v>502</v>
      </c>
      <c r="T2135" s="278"/>
      <c r="U2135" s="278"/>
      <c r="V2135" s="278"/>
      <c r="W2135" s="278"/>
    </row>
    <row r="2136" spans="1:23" s="269" customFormat="1" ht="20.25">
      <c r="A2136" s="267"/>
      <c r="B2136" s="275" t="s">
        <v>2439</v>
      </c>
      <c r="C2136" s="275" t="s">
        <v>3831</v>
      </c>
      <c r="D2136" s="168" t="s">
        <v>7938</v>
      </c>
      <c r="E2136" s="168" t="s">
        <v>2294</v>
      </c>
      <c r="F2136" s="168" t="s">
        <v>4623</v>
      </c>
      <c r="G2136" s="168" t="s">
        <v>4623</v>
      </c>
      <c r="H2136" s="292" t="s">
        <v>7939</v>
      </c>
      <c r="I2136" s="293" t="s">
        <v>3517</v>
      </c>
      <c r="J2136" s="293" t="s">
        <v>7940</v>
      </c>
      <c r="K2136" s="290" t="s">
        <v>7941</v>
      </c>
      <c r="L2136" s="290" t="s">
        <v>4623</v>
      </c>
      <c r="M2136" s="290" t="s">
        <v>1005</v>
      </c>
      <c r="N2136" s="290" t="s">
        <v>1005</v>
      </c>
      <c r="O2136" s="290" t="s">
        <v>4623</v>
      </c>
      <c r="P2136" s="290" t="s">
        <v>999</v>
      </c>
      <c r="Q2136" s="291" t="s">
        <v>4623</v>
      </c>
      <c r="R2136" s="276"/>
      <c r="S2136" s="277">
        <f>IF(OR(C2136="",C2136=T$4),NA(),MATCH($B2136&amp;$C2136,'Smelter Reference List'!$J:$J,0))</f>
        <v>502</v>
      </c>
      <c r="T2136" s="278"/>
      <c r="U2136" s="278"/>
      <c r="V2136" s="278"/>
      <c r="W2136" s="278"/>
    </row>
    <row r="2137" spans="1:23" s="269" customFormat="1" ht="20.25">
      <c r="A2137" s="267"/>
      <c r="B2137" s="275" t="s">
        <v>2439</v>
      </c>
      <c r="C2137" s="275" t="s">
        <v>3831</v>
      </c>
      <c r="D2137" s="168" t="s">
        <v>7942</v>
      </c>
      <c r="E2137" s="168" t="s">
        <v>2294</v>
      </c>
      <c r="F2137" s="168" t="s">
        <v>4623</v>
      </c>
      <c r="G2137" s="168" t="s">
        <v>4623</v>
      </c>
      <c r="H2137" s="292" t="s">
        <v>4623</v>
      </c>
      <c r="I2137" s="293" t="s">
        <v>4623</v>
      </c>
      <c r="J2137" s="293" t="s">
        <v>4623</v>
      </c>
      <c r="K2137" s="290" t="s">
        <v>4623</v>
      </c>
      <c r="L2137" s="290" t="s">
        <v>4623</v>
      </c>
      <c r="M2137" s="290" t="s">
        <v>4623</v>
      </c>
      <c r="N2137" s="290" t="s">
        <v>4623</v>
      </c>
      <c r="O2137" s="290" t="s">
        <v>4623</v>
      </c>
      <c r="P2137" s="290" t="s">
        <v>999</v>
      </c>
      <c r="Q2137" s="291" t="s">
        <v>4623</v>
      </c>
      <c r="R2137" s="276"/>
      <c r="S2137" s="277">
        <f>IF(OR(C2137="",C2137=T$4),NA(),MATCH($B2137&amp;$C2137,'Smelter Reference List'!$J:$J,0))</f>
        <v>502</v>
      </c>
      <c r="T2137" s="278"/>
      <c r="U2137" s="278"/>
      <c r="V2137" s="278"/>
      <c r="W2137" s="278"/>
    </row>
    <row r="2138" spans="1:23" s="269" customFormat="1" ht="20.25">
      <c r="A2138" s="267"/>
      <c r="B2138" s="275" t="s">
        <v>2439</v>
      </c>
      <c r="C2138" s="275" t="s">
        <v>3831</v>
      </c>
      <c r="D2138" s="168" t="s">
        <v>7943</v>
      </c>
      <c r="E2138" s="168" t="s">
        <v>2294</v>
      </c>
      <c r="F2138" s="168" t="s">
        <v>4623</v>
      </c>
      <c r="G2138" s="168" t="s">
        <v>4623</v>
      </c>
      <c r="H2138" s="292" t="s">
        <v>7944</v>
      </c>
      <c r="I2138" s="293" t="s">
        <v>7945</v>
      </c>
      <c r="J2138" s="293" t="s">
        <v>7946</v>
      </c>
      <c r="K2138" s="290" t="s">
        <v>4623</v>
      </c>
      <c r="L2138" s="290" t="s">
        <v>4623</v>
      </c>
      <c r="M2138" s="290" t="s">
        <v>4623</v>
      </c>
      <c r="N2138" s="290" t="s">
        <v>4623</v>
      </c>
      <c r="O2138" s="290" t="s">
        <v>4623</v>
      </c>
      <c r="P2138" s="290" t="s">
        <v>999</v>
      </c>
      <c r="Q2138" s="291" t="s">
        <v>4623</v>
      </c>
      <c r="R2138" s="276"/>
      <c r="S2138" s="277">
        <f>IF(OR(C2138="",C2138=T$4),NA(),MATCH($B2138&amp;$C2138,'Smelter Reference List'!$J:$J,0))</f>
        <v>502</v>
      </c>
      <c r="T2138" s="278"/>
      <c r="U2138" s="278"/>
      <c r="V2138" s="278"/>
      <c r="W2138" s="278"/>
    </row>
    <row r="2139" spans="1:23" s="269" customFormat="1" ht="20.25">
      <c r="A2139" s="267"/>
      <c r="B2139" s="275" t="s">
        <v>2439</v>
      </c>
      <c r="C2139" s="275" t="s">
        <v>3831</v>
      </c>
      <c r="D2139" s="168" t="s">
        <v>7947</v>
      </c>
      <c r="E2139" s="168" t="s">
        <v>2294</v>
      </c>
      <c r="F2139" s="168" t="s">
        <v>4623</v>
      </c>
      <c r="G2139" s="168" t="s">
        <v>4623</v>
      </c>
      <c r="H2139" s="292" t="s">
        <v>4623</v>
      </c>
      <c r="I2139" s="293" t="s">
        <v>4623</v>
      </c>
      <c r="J2139" s="293" t="s">
        <v>4623</v>
      </c>
      <c r="K2139" s="290" t="s">
        <v>4623</v>
      </c>
      <c r="L2139" s="290" t="s">
        <v>4623</v>
      </c>
      <c r="M2139" s="290" t="s">
        <v>4623</v>
      </c>
      <c r="N2139" s="290" t="s">
        <v>4623</v>
      </c>
      <c r="O2139" s="290" t="s">
        <v>4623</v>
      </c>
      <c r="P2139" s="290" t="s">
        <v>999</v>
      </c>
      <c r="Q2139" s="291" t="s">
        <v>4623</v>
      </c>
      <c r="R2139" s="276"/>
      <c r="S2139" s="277">
        <f>IF(OR(C2139="",C2139=T$4),NA(),MATCH($B2139&amp;$C2139,'Smelter Reference List'!$J:$J,0))</f>
        <v>502</v>
      </c>
      <c r="T2139" s="278"/>
      <c r="U2139" s="278"/>
      <c r="V2139" s="278"/>
      <c r="W2139" s="278"/>
    </row>
    <row r="2140" spans="1:23" s="269" customFormat="1" ht="20.25">
      <c r="A2140" s="267"/>
      <c r="B2140" s="275" t="s">
        <v>2439</v>
      </c>
      <c r="C2140" s="275" t="s">
        <v>3831</v>
      </c>
      <c r="D2140" s="168" t="s">
        <v>4939</v>
      </c>
      <c r="E2140" s="168" t="s">
        <v>2294</v>
      </c>
      <c r="F2140" s="168" t="s">
        <v>4623</v>
      </c>
      <c r="G2140" s="168" t="s">
        <v>4623</v>
      </c>
      <c r="H2140" s="292" t="s">
        <v>7948</v>
      </c>
      <c r="I2140" s="293" t="s">
        <v>7949</v>
      </c>
      <c r="J2140" s="293" t="s">
        <v>4956</v>
      </c>
      <c r="K2140" s="290" t="s">
        <v>7950</v>
      </c>
      <c r="L2140" s="290" t="s">
        <v>7951</v>
      </c>
      <c r="M2140" s="290" t="s">
        <v>4623</v>
      </c>
      <c r="N2140" s="290" t="s">
        <v>4623</v>
      </c>
      <c r="O2140" s="290" t="s">
        <v>4623</v>
      </c>
      <c r="P2140" s="290" t="s">
        <v>999</v>
      </c>
      <c r="Q2140" s="291" t="s">
        <v>4623</v>
      </c>
      <c r="R2140" s="276"/>
      <c r="S2140" s="277">
        <f>IF(OR(C2140="",C2140=T$4),NA(),MATCH($B2140&amp;$C2140,'Smelter Reference List'!$J:$J,0))</f>
        <v>502</v>
      </c>
      <c r="T2140" s="278"/>
      <c r="U2140" s="278"/>
      <c r="V2140" s="278"/>
      <c r="W2140" s="278"/>
    </row>
    <row r="2141" spans="1:23" s="269" customFormat="1" ht="20.25">
      <c r="A2141" s="267"/>
      <c r="B2141" s="275" t="s">
        <v>2439</v>
      </c>
      <c r="C2141" s="275" t="s">
        <v>3831</v>
      </c>
      <c r="D2141" s="168" t="s">
        <v>7952</v>
      </c>
      <c r="E2141" s="168" t="s">
        <v>2294</v>
      </c>
      <c r="F2141" s="168" t="s">
        <v>4623</v>
      </c>
      <c r="G2141" s="168" t="s">
        <v>4623</v>
      </c>
      <c r="H2141" s="292" t="s">
        <v>7953</v>
      </c>
      <c r="I2141" s="293" t="s">
        <v>4956</v>
      </c>
      <c r="J2141" s="293" t="s">
        <v>4623</v>
      </c>
      <c r="K2141" s="290" t="s">
        <v>4623</v>
      </c>
      <c r="L2141" s="290" t="s">
        <v>4623</v>
      </c>
      <c r="M2141" s="290" t="s">
        <v>4623</v>
      </c>
      <c r="N2141" s="290" t="s">
        <v>4623</v>
      </c>
      <c r="O2141" s="290" t="s">
        <v>4623</v>
      </c>
      <c r="P2141" s="290" t="s">
        <v>999</v>
      </c>
      <c r="Q2141" s="291" t="s">
        <v>4623</v>
      </c>
      <c r="R2141" s="276"/>
      <c r="S2141" s="277">
        <f>IF(OR(C2141="",C2141=T$4),NA(),MATCH($B2141&amp;$C2141,'Smelter Reference List'!$J:$J,0))</f>
        <v>502</v>
      </c>
      <c r="T2141" s="278"/>
      <c r="U2141" s="278"/>
      <c r="V2141" s="278"/>
      <c r="W2141" s="278"/>
    </row>
    <row r="2142" spans="1:23" s="269" customFormat="1" ht="20.25">
      <c r="A2142" s="267"/>
      <c r="B2142" s="275" t="s">
        <v>2439</v>
      </c>
      <c r="C2142" s="275" t="s">
        <v>3831</v>
      </c>
      <c r="D2142" s="168" t="s">
        <v>7954</v>
      </c>
      <c r="E2142" s="168" t="s">
        <v>2294</v>
      </c>
      <c r="F2142" s="168" t="s">
        <v>4623</v>
      </c>
      <c r="G2142" s="168" t="s">
        <v>4623</v>
      </c>
      <c r="H2142" s="292" t="s">
        <v>4623</v>
      </c>
      <c r="I2142" s="293" t="s">
        <v>4623</v>
      </c>
      <c r="J2142" s="293" t="s">
        <v>4623</v>
      </c>
      <c r="K2142" s="290" t="s">
        <v>4623</v>
      </c>
      <c r="L2142" s="290" t="s">
        <v>4623</v>
      </c>
      <c r="M2142" s="290" t="s">
        <v>4623</v>
      </c>
      <c r="N2142" s="290" t="s">
        <v>4623</v>
      </c>
      <c r="O2142" s="290" t="s">
        <v>4623</v>
      </c>
      <c r="P2142" s="290" t="s">
        <v>999</v>
      </c>
      <c r="Q2142" s="291" t="s">
        <v>4623</v>
      </c>
      <c r="R2142" s="276"/>
      <c r="S2142" s="277">
        <f>IF(OR(C2142="",C2142=T$4),NA(),MATCH($B2142&amp;$C2142,'Smelter Reference List'!$J:$J,0))</f>
        <v>502</v>
      </c>
      <c r="T2142" s="278"/>
      <c r="U2142" s="278"/>
      <c r="V2142" s="278"/>
      <c r="W2142" s="278"/>
    </row>
    <row r="2143" spans="1:23" s="269" customFormat="1" ht="20.25">
      <c r="A2143" s="267"/>
      <c r="B2143" s="275" t="s">
        <v>2439</v>
      </c>
      <c r="C2143" s="275" t="s">
        <v>3831</v>
      </c>
      <c r="D2143" s="168" t="s">
        <v>7955</v>
      </c>
      <c r="E2143" s="168" t="s">
        <v>2294</v>
      </c>
      <c r="F2143" s="168" t="s">
        <v>4623</v>
      </c>
      <c r="G2143" s="168" t="s">
        <v>4623</v>
      </c>
      <c r="H2143" s="292" t="s">
        <v>4623</v>
      </c>
      <c r="I2143" s="293" t="s">
        <v>4623</v>
      </c>
      <c r="J2143" s="293" t="s">
        <v>4623</v>
      </c>
      <c r="K2143" s="290" t="s">
        <v>4623</v>
      </c>
      <c r="L2143" s="290" t="s">
        <v>4623</v>
      </c>
      <c r="M2143" s="290" t="s">
        <v>4623</v>
      </c>
      <c r="N2143" s="290" t="s">
        <v>4623</v>
      </c>
      <c r="O2143" s="290" t="s">
        <v>4623</v>
      </c>
      <c r="P2143" s="290" t="s">
        <v>999</v>
      </c>
      <c r="Q2143" s="291" t="s">
        <v>4623</v>
      </c>
      <c r="R2143" s="276"/>
      <c r="S2143" s="277">
        <f>IF(OR(C2143="",C2143=T$4),NA(),MATCH($B2143&amp;$C2143,'Smelter Reference List'!$J:$J,0))</f>
        <v>502</v>
      </c>
      <c r="T2143" s="278"/>
      <c r="U2143" s="278"/>
      <c r="V2143" s="278"/>
      <c r="W2143" s="278"/>
    </row>
    <row r="2144" spans="1:23" s="269" customFormat="1" ht="20.25">
      <c r="A2144" s="267"/>
      <c r="B2144" s="275" t="s">
        <v>2439</v>
      </c>
      <c r="C2144" s="275" t="s">
        <v>3831</v>
      </c>
      <c r="D2144" s="168" t="s">
        <v>7956</v>
      </c>
      <c r="E2144" s="168" t="s">
        <v>2294</v>
      </c>
      <c r="F2144" s="168" t="s">
        <v>4623</v>
      </c>
      <c r="G2144" s="168" t="s">
        <v>4623</v>
      </c>
      <c r="H2144" s="292" t="s">
        <v>4623</v>
      </c>
      <c r="I2144" s="293" t="s">
        <v>4623</v>
      </c>
      <c r="J2144" s="293" t="s">
        <v>4623</v>
      </c>
      <c r="K2144" s="290" t="s">
        <v>4623</v>
      </c>
      <c r="L2144" s="290" t="s">
        <v>4623</v>
      </c>
      <c r="M2144" s="290" t="s">
        <v>4623</v>
      </c>
      <c r="N2144" s="290" t="s">
        <v>4623</v>
      </c>
      <c r="O2144" s="290" t="s">
        <v>4623</v>
      </c>
      <c r="P2144" s="290" t="s">
        <v>999</v>
      </c>
      <c r="Q2144" s="291" t="s">
        <v>4623</v>
      </c>
      <c r="R2144" s="276"/>
      <c r="S2144" s="277">
        <f>IF(OR(C2144="",C2144=T$4),NA(),MATCH($B2144&amp;$C2144,'Smelter Reference List'!$J:$J,0))</f>
        <v>502</v>
      </c>
      <c r="T2144" s="278"/>
      <c r="U2144" s="278"/>
      <c r="V2144" s="278"/>
      <c r="W2144" s="278"/>
    </row>
    <row r="2145" spans="1:23" s="269" customFormat="1" ht="20.25">
      <c r="A2145" s="267"/>
      <c r="B2145" s="275" t="s">
        <v>2439</v>
      </c>
      <c r="C2145" s="275" t="s">
        <v>3831</v>
      </c>
      <c r="D2145" s="168" t="s">
        <v>4945</v>
      </c>
      <c r="E2145" s="168" t="s">
        <v>2294</v>
      </c>
      <c r="F2145" s="168" t="s">
        <v>4623</v>
      </c>
      <c r="G2145" s="168" t="s">
        <v>4623</v>
      </c>
      <c r="H2145" s="292" t="s">
        <v>7957</v>
      </c>
      <c r="I2145" s="293" t="s">
        <v>7958</v>
      </c>
      <c r="J2145" s="293" t="s">
        <v>7959</v>
      </c>
      <c r="K2145" s="290" t="s">
        <v>7960</v>
      </c>
      <c r="L2145" s="290" t="s">
        <v>7961</v>
      </c>
      <c r="M2145" s="290" t="s">
        <v>4623</v>
      </c>
      <c r="N2145" s="290" t="s">
        <v>4623</v>
      </c>
      <c r="O2145" s="290" t="s">
        <v>4623</v>
      </c>
      <c r="P2145" s="290" t="s">
        <v>999</v>
      </c>
      <c r="Q2145" s="291" t="s">
        <v>4623</v>
      </c>
      <c r="R2145" s="276"/>
      <c r="S2145" s="277">
        <f>IF(OR(C2145="",C2145=T$4),NA(),MATCH($B2145&amp;$C2145,'Smelter Reference List'!$J:$J,0))</f>
        <v>502</v>
      </c>
      <c r="T2145" s="278"/>
      <c r="U2145" s="278"/>
      <c r="V2145" s="278"/>
      <c r="W2145" s="278"/>
    </row>
    <row r="2146" spans="1:23" s="269" customFormat="1" ht="20.25">
      <c r="A2146" s="267"/>
      <c r="B2146" s="275" t="s">
        <v>2439</v>
      </c>
      <c r="C2146" s="275" t="s">
        <v>3831</v>
      </c>
      <c r="D2146" s="168" t="s">
        <v>7962</v>
      </c>
      <c r="E2146" s="168" t="s">
        <v>2294</v>
      </c>
      <c r="F2146" s="168" t="s">
        <v>4623</v>
      </c>
      <c r="G2146" s="168" t="s">
        <v>4623</v>
      </c>
      <c r="H2146" s="292" t="s">
        <v>7963</v>
      </c>
      <c r="I2146" s="293" t="s">
        <v>5163</v>
      </c>
      <c r="J2146" s="293" t="s">
        <v>3408</v>
      </c>
      <c r="K2146" s="290" t="s">
        <v>6588</v>
      </c>
      <c r="L2146" s="290" t="s">
        <v>6589</v>
      </c>
      <c r="M2146" s="290" t="s">
        <v>4623</v>
      </c>
      <c r="N2146" s="290" t="s">
        <v>4623</v>
      </c>
      <c r="O2146" s="290" t="s">
        <v>4667</v>
      </c>
      <c r="P2146" s="290" t="s">
        <v>999</v>
      </c>
      <c r="Q2146" s="291" t="s">
        <v>4623</v>
      </c>
      <c r="R2146" s="276"/>
      <c r="S2146" s="277">
        <f>IF(OR(C2146="",C2146=T$4),NA(),MATCH($B2146&amp;$C2146,'Smelter Reference List'!$J:$J,0))</f>
        <v>502</v>
      </c>
      <c r="T2146" s="278"/>
      <c r="U2146" s="278"/>
      <c r="V2146" s="278"/>
      <c r="W2146" s="278"/>
    </row>
    <row r="2147" spans="1:23" s="269" customFormat="1" ht="20.25">
      <c r="A2147" s="267"/>
      <c r="B2147" s="275" t="s">
        <v>2439</v>
      </c>
      <c r="C2147" s="275" t="s">
        <v>3831</v>
      </c>
      <c r="D2147" s="168" t="s">
        <v>7964</v>
      </c>
      <c r="E2147" s="168" t="s">
        <v>2294</v>
      </c>
      <c r="F2147" s="168" t="s">
        <v>4623</v>
      </c>
      <c r="G2147" s="168" t="s">
        <v>4623</v>
      </c>
      <c r="H2147" s="292" t="s">
        <v>4623</v>
      </c>
      <c r="I2147" s="293" t="s">
        <v>4623</v>
      </c>
      <c r="J2147" s="293" t="s">
        <v>4623</v>
      </c>
      <c r="K2147" s="290" t="s">
        <v>4623</v>
      </c>
      <c r="L2147" s="290" t="s">
        <v>4623</v>
      </c>
      <c r="M2147" s="290" t="s">
        <v>4623</v>
      </c>
      <c r="N2147" s="290" t="s">
        <v>4623</v>
      </c>
      <c r="O2147" s="290" t="s">
        <v>4623</v>
      </c>
      <c r="P2147" s="290" t="s">
        <v>999</v>
      </c>
      <c r="Q2147" s="291" t="s">
        <v>4623</v>
      </c>
      <c r="R2147" s="276"/>
      <c r="S2147" s="277">
        <f>IF(OR(C2147="",C2147=T$4),NA(),MATCH($B2147&amp;$C2147,'Smelter Reference List'!$J:$J,0))</f>
        <v>502</v>
      </c>
      <c r="T2147" s="278"/>
      <c r="U2147" s="278"/>
      <c r="V2147" s="278"/>
      <c r="W2147" s="278"/>
    </row>
    <row r="2148" spans="1:23" s="269" customFormat="1" ht="20.25">
      <c r="A2148" s="267"/>
      <c r="B2148" s="275" t="s">
        <v>2439</v>
      </c>
      <c r="C2148" s="275" t="s">
        <v>3831</v>
      </c>
      <c r="D2148" s="168" t="s">
        <v>7965</v>
      </c>
      <c r="E2148" s="168" t="s">
        <v>2294</v>
      </c>
      <c r="F2148" s="168" t="s">
        <v>4623</v>
      </c>
      <c r="G2148" s="168" t="s">
        <v>4623</v>
      </c>
      <c r="H2148" s="292" t="s">
        <v>4623</v>
      </c>
      <c r="I2148" s="293" t="s">
        <v>4623</v>
      </c>
      <c r="J2148" s="293" t="s">
        <v>4623</v>
      </c>
      <c r="K2148" s="290" t="s">
        <v>4623</v>
      </c>
      <c r="L2148" s="290" t="s">
        <v>4623</v>
      </c>
      <c r="M2148" s="290" t="s">
        <v>4623</v>
      </c>
      <c r="N2148" s="290" t="s">
        <v>4623</v>
      </c>
      <c r="O2148" s="290" t="s">
        <v>4623</v>
      </c>
      <c r="P2148" s="290" t="s">
        <v>999</v>
      </c>
      <c r="Q2148" s="291" t="s">
        <v>4623</v>
      </c>
      <c r="R2148" s="276"/>
      <c r="S2148" s="277">
        <f>IF(OR(C2148="",C2148=T$4),NA(),MATCH($B2148&amp;$C2148,'Smelter Reference List'!$J:$J,0))</f>
        <v>502</v>
      </c>
      <c r="T2148" s="278"/>
      <c r="U2148" s="278"/>
      <c r="V2148" s="278"/>
      <c r="W2148" s="278"/>
    </row>
    <row r="2149" spans="1:23" s="269" customFormat="1" ht="20.25">
      <c r="A2149" s="267"/>
      <c r="B2149" s="275" t="s">
        <v>2439</v>
      </c>
      <c r="C2149" s="275" t="s">
        <v>3831</v>
      </c>
      <c r="D2149" s="168" t="s">
        <v>7966</v>
      </c>
      <c r="E2149" s="168" t="s">
        <v>2294</v>
      </c>
      <c r="F2149" s="168" t="s">
        <v>4623</v>
      </c>
      <c r="G2149" s="168" t="s">
        <v>4623</v>
      </c>
      <c r="H2149" s="292" t="s">
        <v>7967</v>
      </c>
      <c r="I2149" s="293" t="s">
        <v>5043</v>
      </c>
      <c r="J2149" s="293" t="s">
        <v>7968</v>
      </c>
      <c r="K2149" s="290" t="s">
        <v>4623</v>
      </c>
      <c r="L2149" s="290" t="s">
        <v>4623</v>
      </c>
      <c r="M2149" s="290" t="s">
        <v>4623</v>
      </c>
      <c r="N2149" s="290" t="s">
        <v>4623</v>
      </c>
      <c r="O2149" s="290" t="s">
        <v>4623</v>
      </c>
      <c r="P2149" s="290" t="s">
        <v>999</v>
      </c>
      <c r="Q2149" s="291" t="s">
        <v>4623</v>
      </c>
      <c r="R2149" s="276"/>
      <c r="S2149" s="277">
        <f>IF(OR(C2149="",C2149=T$4),NA(),MATCH($B2149&amp;$C2149,'Smelter Reference List'!$J:$J,0))</f>
        <v>502</v>
      </c>
      <c r="T2149" s="278"/>
      <c r="U2149" s="278"/>
      <c r="V2149" s="278"/>
      <c r="W2149" s="278"/>
    </row>
    <row r="2150" spans="1:23" s="269" customFormat="1" ht="20.25">
      <c r="A2150" s="267"/>
      <c r="B2150" s="275" t="s">
        <v>2439</v>
      </c>
      <c r="C2150" s="275" t="s">
        <v>3831</v>
      </c>
      <c r="D2150" s="168" t="s">
        <v>7969</v>
      </c>
      <c r="E2150" s="168" t="s">
        <v>2294</v>
      </c>
      <c r="F2150" s="168" t="s">
        <v>4623</v>
      </c>
      <c r="G2150" s="168" t="s">
        <v>4623</v>
      </c>
      <c r="H2150" s="292" t="s">
        <v>4623</v>
      </c>
      <c r="I2150" s="293" t="s">
        <v>4623</v>
      </c>
      <c r="J2150" s="293" t="s">
        <v>4623</v>
      </c>
      <c r="K2150" s="290" t="s">
        <v>4623</v>
      </c>
      <c r="L2150" s="290" t="s">
        <v>4623</v>
      </c>
      <c r="M2150" s="290" t="s">
        <v>4623</v>
      </c>
      <c r="N2150" s="290" t="s">
        <v>4623</v>
      </c>
      <c r="O2150" s="290" t="s">
        <v>4623</v>
      </c>
      <c r="P2150" s="290" t="s">
        <v>999</v>
      </c>
      <c r="Q2150" s="291" t="s">
        <v>4623</v>
      </c>
      <c r="R2150" s="276"/>
      <c r="S2150" s="277">
        <f>IF(OR(C2150="",C2150=T$4),NA(),MATCH($B2150&amp;$C2150,'Smelter Reference List'!$J:$J,0))</f>
        <v>502</v>
      </c>
      <c r="T2150" s="278"/>
      <c r="U2150" s="278"/>
      <c r="V2150" s="278"/>
      <c r="W2150" s="278"/>
    </row>
    <row r="2151" spans="1:23" s="269" customFormat="1" ht="20.25">
      <c r="A2151" s="267"/>
      <c r="B2151" s="275" t="s">
        <v>2439</v>
      </c>
      <c r="C2151" s="275" t="s">
        <v>3831</v>
      </c>
      <c r="D2151" s="168" t="s">
        <v>6085</v>
      </c>
      <c r="E2151" s="168" t="s">
        <v>2294</v>
      </c>
      <c r="F2151" s="168" t="s">
        <v>4623</v>
      </c>
      <c r="G2151" s="168" t="s">
        <v>4623</v>
      </c>
      <c r="H2151" s="292" t="s">
        <v>4623</v>
      </c>
      <c r="I2151" s="293" t="s">
        <v>4623</v>
      </c>
      <c r="J2151" s="293" t="s">
        <v>4623</v>
      </c>
      <c r="K2151" s="290" t="s">
        <v>4623</v>
      </c>
      <c r="L2151" s="290" t="s">
        <v>4623</v>
      </c>
      <c r="M2151" s="290" t="s">
        <v>4623</v>
      </c>
      <c r="N2151" s="290" t="s">
        <v>4623</v>
      </c>
      <c r="O2151" s="290" t="s">
        <v>4623</v>
      </c>
      <c r="P2151" s="290" t="s">
        <v>999</v>
      </c>
      <c r="Q2151" s="291" t="s">
        <v>4623</v>
      </c>
      <c r="R2151" s="276"/>
      <c r="S2151" s="277">
        <f>IF(OR(C2151="",C2151=T$4),NA(),MATCH($B2151&amp;$C2151,'Smelter Reference List'!$J:$J,0))</f>
        <v>502</v>
      </c>
      <c r="T2151" s="278"/>
      <c r="U2151" s="278"/>
      <c r="V2151" s="278"/>
      <c r="W2151" s="278"/>
    </row>
    <row r="2152" spans="1:23" s="269" customFormat="1" ht="20.25">
      <c r="A2152" s="267"/>
      <c r="B2152" s="275" t="s">
        <v>2439</v>
      </c>
      <c r="C2152" s="275" t="s">
        <v>3831</v>
      </c>
      <c r="D2152" s="168" t="s">
        <v>7970</v>
      </c>
      <c r="E2152" s="168" t="s">
        <v>2294</v>
      </c>
      <c r="F2152" s="168" t="s">
        <v>4623</v>
      </c>
      <c r="G2152" s="168" t="s">
        <v>4623</v>
      </c>
      <c r="H2152" s="292" t="s">
        <v>7971</v>
      </c>
      <c r="I2152" s="293" t="s">
        <v>5163</v>
      </c>
      <c r="J2152" s="293" t="s">
        <v>7972</v>
      </c>
      <c r="K2152" s="290" t="s">
        <v>7973</v>
      </c>
      <c r="L2152" s="290" t="s">
        <v>7974</v>
      </c>
      <c r="M2152" s="290" t="s">
        <v>4623</v>
      </c>
      <c r="N2152" s="290" t="s">
        <v>4623</v>
      </c>
      <c r="O2152" s="290" t="s">
        <v>4623</v>
      </c>
      <c r="P2152" s="290" t="s">
        <v>999</v>
      </c>
      <c r="Q2152" s="291" t="s">
        <v>4623</v>
      </c>
      <c r="R2152" s="276"/>
      <c r="S2152" s="277">
        <f>IF(OR(C2152="",C2152=T$4),NA(),MATCH($B2152&amp;$C2152,'Smelter Reference List'!$J:$J,0))</f>
        <v>502</v>
      </c>
      <c r="T2152" s="278"/>
      <c r="U2152" s="278"/>
      <c r="V2152" s="278"/>
      <c r="W2152" s="278"/>
    </row>
    <row r="2153" spans="1:23" s="269" customFormat="1" ht="20.25">
      <c r="A2153" s="267"/>
      <c r="B2153" s="275" t="s">
        <v>2439</v>
      </c>
      <c r="C2153" s="275" t="s">
        <v>3831</v>
      </c>
      <c r="D2153" s="168" t="s">
        <v>7975</v>
      </c>
      <c r="E2153" s="168" t="s">
        <v>2294</v>
      </c>
      <c r="F2153" s="168" t="s">
        <v>4623</v>
      </c>
      <c r="G2153" s="168" t="s">
        <v>4623</v>
      </c>
      <c r="H2153" s="292" t="s">
        <v>7976</v>
      </c>
      <c r="I2153" s="293" t="s">
        <v>4956</v>
      </c>
      <c r="J2153" s="293" t="s">
        <v>4956</v>
      </c>
      <c r="K2153" s="290" t="s">
        <v>7977</v>
      </c>
      <c r="L2153" s="290" t="s">
        <v>7978</v>
      </c>
      <c r="M2153" s="290" t="s">
        <v>4623</v>
      </c>
      <c r="N2153" s="290" t="s">
        <v>4623</v>
      </c>
      <c r="O2153" s="290" t="s">
        <v>4667</v>
      </c>
      <c r="P2153" s="290" t="s">
        <v>999</v>
      </c>
      <c r="Q2153" s="291" t="s">
        <v>4623</v>
      </c>
      <c r="R2153" s="276"/>
      <c r="S2153" s="277">
        <f>IF(OR(C2153="",C2153=T$4),NA(),MATCH($B2153&amp;$C2153,'Smelter Reference List'!$J:$J,0))</f>
        <v>502</v>
      </c>
      <c r="T2153" s="278"/>
      <c r="U2153" s="278"/>
      <c r="V2153" s="278"/>
      <c r="W2153" s="278"/>
    </row>
    <row r="2154" spans="1:23" s="269" customFormat="1" ht="20.25">
      <c r="A2154" s="267"/>
      <c r="B2154" s="275" t="s">
        <v>2439</v>
      </c>
      <c r="C2154" s="275" t="s">
        <v>3831</v>
      </c>
      <c r="D2154" s="168" t="s">
        <v>7979</v>
      </c>
      <c r="E2154" s="168" t="s">
        <v>2294</v>
      </c>
      <c r="F2154" s="168" t="s">
        <v>4623</v>
      </c>
      <c r="G2154" s="168" t="s">
        <v>4623</v>
      </c>
      <c r="H2154" s="292" t="s">
        <v>4623</v>
      </c>
      <c r="I2154" s="293" t="s">
        <v>4623</v>
      </c>
      <c r="J2154" s="293" t="s">
        <v>4623</v>
      </c>
      <c r="K2154" s="290" t="s">
        <v>4623</v>
      </c>
      <c r="L2154" s="290" t="s">
        <v>4623</v>
      </c>
      <c r="M2154" s="290" t="s">
        <v>4623</v>
      </c>
      <c r="N2154" s="290" t="s">
        <v>4623</v>
      </c>
      <c r="O2154" s="290" t="s">
        <v>4623</v>
      </c>
      <c r="P2154" s="290" t="s">
        <v>999</v>
      </c>
      <c r="Q2154" s="291" t="s">
        <v>4623</v>
      </c>
      <c r="R2154" s="276"/>
      <c r="S2154" s="277">
        <f>IF(OR(C2154="",C2154=T$4),NA(),MATCH($B2154&amp;$C2154,'Smelter Reference List'!$J:$J,0))</f>
        <v>502</v>
      </c>
      <c r="T2154" s="278"/>
      <c r="U2154" s="278"/>
      <c r="V2154" s="278"/>
      <c r="W2154" s="278"/>
    </row>
    <row r="2155" spans="1:23" s="269" customFormat="1" ht="20.25">
      <c r="A2155" s="267"/>
      <c r="B2155" s="275" t="s">
        <v>2439</v>
      </c>
      <c r="C2155" s="275" t="s">
        <v>3831</v>
      </c>
      <c r="D2155" s="168" t="s">
        <v>7980</v>
      </c>
      <c r="E2155" s="168" t="s">
        <v>2294</v>
      </c>
      <c r="F2155" s="168" t="s">
        <v>4623</v>
      </c>
      <c r="G2155" s="168" t="s">
        <v>4623</v>
      </c>
      <c r="H2155" s="292" t="s">
        <v>7981</v>
      </c>
      <c r="I2155" s="293" t="s">
        <v>7982</v>
      </c>
      <c r="J2155" s="293" t="s">
        <v>5043</v>
      </c>
      <c r="K2155" s="290" t="s">
        <v>4623</v>
      </c>
      <c r="L2155" s="290" t="s">
        <v>4623</v>
      </c>
      <c r="M2155" s="290" t="s">
        <v>4623</v>
      </c>
      <c r="N2155" s="290" t="s">
        <v>4623</v>
      </c>
      <c r="O2155" s="290" t="s">
        <v>4623</v>
      </c>
      <c r="P2155" s="290" t="s">
        <v>999</v>
      </c>
      <c r="Q2155" s="291" t="s">
        <v>4623</v>
      </c>
      <c r="R2155" s="276"/>
      <c r="S2155" s="277">
        <f>IF(OR(C2155="",C2155=T$4),NA(),MATCH($B2155&amp;$C2155,'Smelter Reference List'!$J:$J,0))</f>
        <v>502</v>
      </c>
      <c r="T2155" s="278"/>
      <c r="U2155" s="278"/>
      <c r="V2155" s="278"/>
      <c r="W2155" s="278"/>
    </row>
    <row r="2156" spans="1:23" s="269" customFormat="1" ht="20.25">
      <c r="A2156" s="267"/>
      <c r="B2156" s="275" t="s">
        <v>2439</v>
      </c>
      <c r="C2156" s="275" t="s">
        <v>3831</v>
      </c>
      <c r="D2156" s="168" t="s">
        <v>7983</v>
      </c>
      <c r="E2156" s="168" t="s">
        <v>2294</v>
      </c>
      <c r="F2156" s="168" t="s">
        <v>4623</v>
      </c>
      <c r="G2156" s="168" t="s">
        <v>4623</v>
      </c>
      <c r="H2156" s="292" t="s">
        <v>4623</v>
      </c>
      <c r="I2156" s="293" t="s">
        <v>4623</v>
      </c>
      <c r="J2156" s="293" t="s">
        <v>4623</v>
      </c>
      <c r="K2156" s="290" t="s">
        <v>4623</v>
      </c>
      <c r="L2156" s="290" t="s">
        <v>4623</v>
      </c>
      <c r="M2156" s="290" t="s">
        <v>4623</v>
      </c>
      <c r="N2156" s="290" t="s">
        <v>4623</v>
      </c>
      <c r="O2156" s="290" t="s">
        <v>4623</v>
      </c>
      <c r="P2156" s="290" t="s">
        <v>999</v>
      </c>
      <c r="Q2156" s="291" t="s">
        <v>4623</v>
      </c>
      <c r="R2156" s="276"/>
      <c r="S2156" s="277">
        <f>IF(OR(C2156="",C2156=T$4),NA(),MATCH($B2156&amp;$C2156,'Smelter Reference List'!$J:$J,0))</f>
        <v>502</v>
      </c>
      <c r="T2156" s="278"/>
      <c r="U2156" s="278"/>
      <c r="V2156" s="278"/>
      <c r="W2156" s="278"/>
    </row>
    <row r="2157" spans="1:23" s="269" customFormat="1" ht="20.25">
      <c r="A2157" s="267"/>
      <c r="B2157" s="275" t="s">
        <v>2439</v>
      </c>
      <c r="C2157" s="275" t="s">
        <v>3831</v>
      </c>
      <c r="D2157" s="168" t="s">
        <v>7984</v>
      </c>
      <c r="E2157" s="168" t="s">
        <v>2294</v>
      </c>
      <c r="F2157" s="168" t="s">
        <v>4623</v>
      </c>
      <c r="G2157" s="168" t="s">
        <v>4623</v>
      </c>
      <c r="H2157" s="292" t="s">
        <v>7985</v>
      </c>
      <c r="I2157" s="293" t="s">
        <v>7986</v>
      </c>
      <c r="J2157" s="293" t="s">
        <v>3408</v>
      </c>
      <c r="K2157" s="290" t="s">
        <v>7987</v>
      </c>
      <c r="L2157" s="290" t="s">
        <v>4623</v>
      </c>
      <c r="M2157" s="290" t="s">
        <v>4623</v>
      </c>
      <c r="N2157" s="290" t="s">
        <v>4623</v>
      </c>
      <c r="O2157" s="290" t="s">
        <v>4623</v>
      </c>
      <c r="P2157" s="290" t="s">
        <v>999</v>
      </c>
      <c r="Q2157" s="291" t="s">
        <v>4623</v>
      </c>
      <c r="R2157" s="276"/>
      <c r="S2157" s="277">
        <f>IF(OR(C2157="",C2157=T$4),NA(),MATCH($B2157&amp;$C2157,'Smelter Reference List'!$J:$J,0))</f>
        <v>502</v>
      </c>
      <c r="T2157" s="278"/>
      <c r="U2157" s="278"/>
      <c r="V2157" s="278"/>
      <c r="W2157" s="278"/>
    </row>
    <row r="2158" spans="1:23" s="269" customFormat="1" ht="20.25">
      <c r="A2158" s="267"/>
      <c r="B2158" s="275" t="s">
        <v>2439</v>
      </c>
      <c r="C2158" s="275" t="s">
        <v>3831</v>
      </c>
      <c r="D2158" s="168" t="s">
        <v>6096</v>
      </c>
      <c r="E2158" s="168" t="s">
        <v>2294</v>
      </c>
      <c r="F2158" s="168" t="s">
        <v>4623</v>
      </c>
      <c r="G2158" s="168" t="s">
        <v>4623</v>
      </c>
      <c r="H2158" s="292" t="s">
        <v>7988</v>
      </c>
      <c r="I2158" s="293" t="s">
        <v>3687</v>
      </c>
      <c r="J2158" s="293" t="s">
        <v>7989</v>
      </c>
      <c r="K2158" s="290" t="s">
        <v>7990</v>
      </c>
      <c r="L2158" s="290" t="s">
        <v>5008</v>
      </c>
      <c r="M2158" s="290" t="s">
        <v>4623</v>
      </c>
      <c r="N2158" s="290" t="s">
        <v>5009</v>
      </c>
      <c r="O2158" s="290" t="s">
        <v>4667</v>
      </c>
      <c r="P2158" s="290" t="s">
        <v>999</v>
      </c>
      <c r="Q2158" s="291" t="s">
        <v>7991</v>
      </c>
      <c r="R2158" s="276"/>
      <c r="S2158" s="277">
        <f>IF(OR(C2158="",C2158=T$4),NA(),MATCH($B2158&amp;$C2158,'Smelter Reference List'!$J:$J,0))</f>
        <v>502</v>
      </c>
      <c r="T2158" s="278"/>
      <c r="U2158" s="278"/>
      <c r="V2158" s="278"/>
      <c r="W2158" s="278"/>
    </row>
    <row r="2159" spans="1:23" s="269" customFormat="1" ht="20.25">
      <c r="A2159" s="267"/>
      <c r="B2159" s="275" t="s">
        <v>2439</v>
      </c>
      <c r="C2159" s="275" t="s">
        <v>3831</v>
      </c>
      <c r="D2159" s="168" t="s">
        <v>7992</v>
      </c>
      <c r="E2159" s="168" t="s">
        <v>2294</v>
      </c>
      <c r="F2159" s="168" t="s">
        <v>4623</v>
      </c>
      <c r="G2159" s="168" t="s">
        <v>4623</v>
      </c>
      <c r="H2159" s="292" t="s">
        <v>4623</v>
      </c>
      <c r="I2159" s="293" t="s">
        <v>4623</v>
      </c>
      <c r="J2159" s="293" t="s">
        <v>4623</v>
      </c>
      <c r="K2159" s="290" t="s">
        <v>4623</v>
      </c>
      <c r="L2159" s="290" t="s">
        <v>4623</v>
      </c>
      <c r="M2159" s="290" t="s">
        <v>4623</v>
      </c>
      <c r="N2159" s="290" t="s">
        <v>4623</v>
      </c>
      <c r="O2159" s="290" t="s">
        <v>4623</v>
      </c>
      <c r="P2159" s="290" t="s">
        <v>999</v>
      </c>
      <c r="Q2159" s="291" t="s">
        <v>4623</v>
      </c>
      <c r="R2159" s="276"/>
      <c r="S2159" s="277">
        <f>IF(OR(C2159="",C2159=T$4),NA(),MATCH($B2159&amp;$C2159,'Smelter Reference List'!$J:$J,0))</f>
        <v>502</v>
      </c>
      <c r="T2159" s="278"/>
      <c r="U2159" s="278"/>
      <c r="V2159" s="278"/>
      <c r="W2159" s="278"/>
    </row>
    <row r="2160" spans="1:23" s="269" customFormat="1" ht="20.25">
      <c r="A2160" s="267"/>
      <c r="B2160" s="275" t="s">
        <v>2439</v>
      </c>
      <c r="C2160" s="275" t="s">
        <v>3831</v>
      </c>
      <c r="D2160" s="168" t="s">
        <v>6097</v>
      </c>
      <c r="E2160" s="168" t="s">
        <v>2294</v>
      </c>
      <c r="F2160" s="168" t="s">
        <v>4623</v>
      </c>
      <c r="G2160" s="168" t="s">
        <v>4623</v>
      </c>
      <c r="H2160" s="292" t="s">
        <v>6098</v>
      </c>
      <c r="I2160" s="293" t="s">
        <v>4623</v>
      </c>
      <c r="J2160" s="293" t="s">
        <v>4623</v>
      </c>
      <c r="K2160" s="290" t="s">
        <v>6099</v>
      </c>
      <c r="L2160" s="290" t="s">
        <v>7993</v>
      </c>
      <c r="M2160" s="290" t="s">
        <v>4623</v>
      </c>
      <c r="N2160" s="290" t="s">
        <v>4769</v>
      </c>
      <c r="O2160" s="290" t="s">
        <v>4667</v>
      </c>
      <c r="P2160" s="290" t="s">
        <v>999</v>
      </c>
      <c r="Q2160" s="291" t="s">
        <v>4623</v>
      </c>
      <c r="R2160" s="276"/>
      <c r="S2160" s="277">
        <f>IF(OR(C2160="",C2160=T$4),NA(),MATCH($B2160&amp;$C2160,'Smelter Reference List'!$J:$J,0))</f>
        <v>502</v>
      </c>
      <c r="T2160" s="278"/>
      <c r="U2160" s="278"/>
      <c r="V2160" s="278"/>
      <c r="W2160" s="278"/>
    </row>
    <row r="2161" spans="1:23" s="269" customFormat="1" ht="20.25">
      <c r="A2161" s="267"/>
      <c r="B2161" s="275" t="s">
        <v>2439</v>
      </c>
      <c r="C2161" s="275" t="s">
        <v>3831</v>
      </c>
      <c r="D2161" s="168" t="s">
        <v>7994</v>
      </c>
      <c r="E2161" s="168" t="s">
        <v>2294</v>
      </c>
      <c r="F2161" s="168" t="s">
        <v>4623</v>
      </c>
      <c r="G2161" s="168" t="s">
        <v>4623</v>
      </c>
      <c r="H2161" s="292" t="s">
        <v>4623</v>
      </c>
      <c r="I2161" s="293" t="s">
        <v>4623</v>
      </c>
      <c r="J2161" s="293" t="s">
        <v>4623</v>
      </c>
      <c r="K2161" s="290" t="s">
        <v>4623</v>
      </c>
      <c r="L2161" s="290" t="s">
        <v>4623</v>
      </c>
      <c r="M2161" s="290" t="s">
        <v>4623</v>
      </c>
      <c r="N2161" s="290" t="s">
        <v>4623</v>
      </c>
      <c r="O2161" s="290" t="s">
        <v>4623</v>
      </c>
      <c r="P2161" s="290" t="s">
        <v>999</v>
      </c>
      <c r="Q2161" s="291" t="s">
        <v>4623</v>
      </c>
      <c r="R2161" s="276"/>
      <c r="S2161" s="277">
        <f>IF(OR(C2161="",C2161=T$4),NA(),MATCH($B2161&amp;$C2161,'Smelter Reference List'!$J:$J,0))</f>
        <v>502</v>
      </c>
      <c r="T2161" s="278"/>
      <c r="U2161" s="278"/>
      <c r="V2161" s="278"/>
      <c r="W2161" s="278"/>
    </row>
    <row r="2162" spans="1:23" s="269" customFormat="1" ht="20.25">
      <c r="A2162" s="267"/>
      <c r="B2162" s="275" t="s">
        <v>2439</v>
      </c>
      <c r="C2162" s="275" t="s">
        <v>3831</v>
      </c>
      <c r="D2162" s="168" t="s">
        <v>7995</v>
      </c>
      <c r="E2162" s="168" t="s">
        <v>2294</v>
      </c>
      <c r="F2162" s="168" t="s">
        <v>4623</v>
      </c>
      <c r="G2162" s="168" t="s">
        <v>4623</v>
      </c>
      <c r="H2162" s="292" t="s">
        <v>7996</v>
      </c>
      <c r="I2162" s="293" t="s">
        <v>3408</v>
      </c>
      <c r="J2162" s="293" t="s">
        <v>7997</v>
      </c>
      <c r="K2162" s="290" t="s">
        <v>7998</v>
      </c>
      <c r="L2162" s="290" t="s">
        <v>5019</v>
      </c>
      <c r="M2162" s="290" t="s">
        <v>4623</v>
      </c>
      <c r="N2162" s="290" t="s">
        <v>4623</v>
      </c>
      <c r="O2162" s="290" t="s">
        <v>4667</v>
      </c>
      <c r="P2162" s="290" t="s">
        <v>999</v>
      </c>
      <c r="Q2162" s="291" t="s">
        <v>4623</v>
      </c>
      <c r="R2162" s="276"/>
      <c r="S2162" s="277">
        <f>IF(OR(C2162="",C2162=T$4),NA(),MATCH($B2162&amp;$C2162,'Smelter Reference List'!$J:$J,0))</f>
        <v>502</v>
      </c>
      <c r="T2162" s="278"/>
      <c r="U2162" s="278"/>
      <c r="V2162" s="278"/>
      <c r="W2162" s="278"/>
    </row>
    <row r="2163" spans="1:23" s="269" customFormat="1" ht="20.25">
      <c r="A2163" s="267"/>
      <c r="B2163" s="275" t="s">
        <v>2439</v>
      </c>
      <c r="C2163" s="275" t="s">
        <v>3831</v>
      </c>
      <c r="D2163" s="168" t="s">
        <v>7999</v>
      </c>
      <c r="E2163" s="168" t="s">
        <v>2294</v>
      </c>
      <c r="F2163" s="168" t="s">
        <v>4623</v>
      </c>
      <c r="G2163" s="168" t="s">
        <v>4623</v>
      </c>
      <c r="H2163" s="292" t="s">
        <v>8000</v>
      </c>
      <c r="I2163" s="293" t="s">
        <v>5015</v>
      </c>
      <c r="J2163" s="293" t="s">
        <v>3408</v>
      </c>
      <c r="K2163" s="290" t="s">
        <v>7990</v>
      </c>
      <c r="L2163" s="290" t="s">
        <v>5008</v>
      </c>
      <c r="M2163" s="290" t="s">
        <v>4623</v>
      </c>
      <c r="N2163" s="290" t="s">
        <v>4623</v>
      </c>
      <c r="O2163" s="290" t="s">
        <v>4667</v>
      </c>
      <c r="P2163" s="290" t="s">
        <v>999</v>
      </c>
      <c r="Q2163" s="291" t="s">
        <v>4623</v>
      </c>
      <c r="R2163" s="276"/>
      <c r="S2163" s="277">
        <f>IF(OR(C2163="",C2163=T$4),NA(),MATCH($B2163&amp;$C2163,'Smelter Reference List'!$J:$J,0))</f>
        <v>502</v>
      </c>
      <c r="T2163" s="278"/>
      <c r="U2163" s="278"/>
      <c r="V2163" s="278"/>
      <c r="W2163" s="278"/>
    </row>
    <row r="2164" spans="1:23" s="269" customFormat="1" ht="20.25">
      <c r="A2164" s="267"/>
      <c r="B2164" s="275" t="s">
        <v>2439</v>
      </c>
      <c r="C2164" s="275" t="s">
        <v>3831</v>
      </c>
      <c r="D2164" s="168" t="s">
        <v>8001</v>
      </c>
      <c r="E2164" s="168" t="s">
        <v>2294</v>
      </c>
      <c r="F2164" s="168" t="s">
        <v>4623</v>
      </c>
      <c r="G2164" s="168" t="s">
        <v>4623</v>
      </c>
      <c r="H2164" s="292" t="s">
        <v>5007</v>
      </c>
      <c r="I2164" s="293" t="s">
        <v>5015</v>
      </c>
      <c r="J2164" s="293" t="s">
        <v>8002</v>
      </c>
      <c r="K2164" s="290" t="s">
        <v>8003</v>
      </c>
      <c r="L2164" s="290" t="s">
        <v>4623</v>
      </c>
      <c r="M2164" s="290" t="s">
        <v>4623</v>
      </c>
      <c r="N2164" s="290" t="s">
        <v>4623</v>
      </c>
      <c r="O2164" s="290" t="s">
        <v>4623</v>
      </c>
      <c r="P2164" s="290" t="s">
        <v>999</v>
      </c>
      <c r="Q2164" s="291" t="s">
        <v>4623</v>
      </c>
      <c r="R2164" s="276"/>
      <c r="S2164" s="277">
        <f>IF(OR(C2164="",C2164=T$4),NA(),MATCH($B2164&amp;$C2164,'Smelter Reference List'!$J:$J,0))</f>
        <v>502</v>
      </c>
      <c r="T2164" s="278"/>
      <c r="U2164" s="278"/>
      <c r="V2164" s="278"/>
      <c r="W2164" s="278"/>
    </row>
    <row r="2165" spans="1:23" s="269" customFormat="1" ht="20.25">
      <c r="A2165" s="267"/>
      <c r="B2165" s="275" t="s">
        <v>2439</v>
      </c>
      <c r="C2165" s="275" t="s">
        <v>3831</v>
      </c>
      <c r="D2165" s="168" t="s">
        <v>8004</v>
      </c>
      <c r="E2165" s="168" t="s">
        <v>2294</v>
      </c>
      <c r="F2165" s="168" t="s">
        <v>4623</v>
      </c>
      <c r="G2165" s="168" t="s">
        <v>4623</v>
      </c>
      <c r="H2165" s="292" t="s">
        <v>8005</v>
      </c>
      <c r="I2165" s="293" t="s">
        <v>3795</v>
      </c>
      <c r="J2165" s="293" t="s">
        <v>3542</v>
      </c>
      <c r="K2165" s="290" t="s">
        <v>4623</v>
      </c>
      <c r="L2165" s="290" t="s">
        <v>4623</v>
      </c>
      <c r="M2165" s="290" t="s">
        <v>4623</v>
      </c>
      <c r="N2165" s="290" t="s">
        <v>4623</v>
      </c>
      <c r="O2165" s="290" t="s">
        <v>4623</v>
      </c>
      <c r="P2165" s="290" t="s">
        <v>999</v>
      </c>
      <c r="Q2165" s="291" t="s">
        <v>4623</v>
      </c>
      <c r="R2165" s="276"/>
      <c r="S2165" s="277">
        <f>IF(OR(C2165="",C2165=T$4),NA(),MATCH($B2165&amp;$C2165,'Smelter Reference List'!$J:$J,0))</f>
        <v>502</v>
      </c>
      <c r="T2165" s="278"/>
      <c r="U2165" s="278"/>
      <c r="V2165" s="278"/>
      <c r="W2165" s="278"/>
    </row>
    <row r="2166" spans="1:23" s="269" customFormat="1" ht="20.25">
      <c r="A2166" s="267"/>
      <c r="B2166" s="275" t="s">
        <v>2439</v>
      </c>
      <c r="C2166" s="275" t="s">
        <v>3831</v>
      </c>
      <c r="D2166" s="168" t="s">
        <v>5053</v>
      </c>
      <c r="E2166" s="168" t="s">
        <v>2294</v>
      </c>
      <c r="F2166" s="168" t="s">
        <v>4623</v>
      </c>
      <c r="G2166" s="168" t="s">
        <v>4623</v>
      </c>
      <c r="H2166" s="292" t="s">
        <v>8006</v>
      </c>
      <c r="I2166" s="293" t="s">
        <v>4623</v>
      </c>
      <c r="J2166" s="293" t="s">
        <v>4623</v>
      </c>
      <c r="K2166" s="290" t="s">
        <v>4623</v>
      </c>
      <c r="L2166" s="290" t="s">
        <v>4623</v>
      </c>
      <c r="M2166" s="290" t="s">
        <v>4623</v>
      </c>
      <c r="N2166" s="290" t="s">
        <v>4623</v>
      </c>
      <c r="O2166" s="290" t="s">
        <v>4623</v>
      </c>
      <c r="P2166" s="290" t="s">
        <v>999</v>
      </c>
      <c r="Q2166" s="291" t="s">
        <v>4623</v>
      </c>
      <c r="R2166" s="276"/>
      <c r="S2166" s="277">
        <f>IF(OR(C2166="",C2166=T$4),NA(),MATCH($B2166&amp;$C2166,'Smelter Reference List'!$J:$J,0))</f>
        <v>502</v>
      </c>
      <c r="T2166" s="278"/>
      <c r="U2166" s="278"/>
      <c r="V2166" s="278"/>
      <c r="W2166" s="278"/>
    </row>
    <row r="2167" spans="1:23" s="269" customFormat="1" ht="20.25">
      <c r="A2167" s="267"/>
      <c r="B2167" s="275" t="s">
        <v>2439</v>
      </c>
      <c r="C2167" s="275" t="s">
        <v>3831</v>
      </c>
      <c r="D2167" s="168" t="s">
        <v>8007</v>
      </c>
      <c r="E2167" s="168" t="s">
        <v>2294</v>
      </c>
      <c r="F2167" s="168" t="s">
        <v>4623</v>
      </c>
      <c r="G2167" s="168" t="s">
        <v>4623</v>
      </c>
      <c r="H2167" s="292" t="s">
        <v>4623</v>
      </c>
      <c r="I2167" s="293" t="s">
        <v>4623</v>
      </c>
      <c r="J2167" s="293" t="s">
        <v>4623</v>
      </c>
      <c r="K2167" s="290" t="s">
        <v>4623</v>
      </c>
      <c r="L2167" s="290" t="s">
        <v>4623</v>
      </c>
      <c r="M2167" s="290" t="s">
        <v>4623</v>
      </c>
      <c r="N2167" s="290" t="s">
        <v>4623</v>
      </c>
      <c r="O2167" s="290" t="s">
        <v>4623</v>
      </c>
      <c r="P2167" s="290" t="s">
        <v>999</v>
      </c>
      <c r="Q2167" s="291" t="s">
        <v>4623</v>
      </c>
      <c r="R2167" s="276"/>
      <c r="S2167" s="277">
        <f>IF(OR(C2167="",C2167=T$4),NA(),MATCH($B2167&amp;$C2167,'Smelter Reference List'!$J:$J,0))</f>
        <v>502</v>
      </c>
      <c r="T2167" s="278"/>
      <c r="U2167" s="278"/>
      <c r="V2167" s="278"/>
      <c r="W2167" s="278"/>
    </row>
    <row r="2168" spans="1:23" s="269" customFormat="1" ht="20.25">
      <c r="A2168" s="267"/>
      <c r="B2168" s="275" t="s">
        <v>2439</v>
      </c>
      <c r="C2168" s="275" t="s">
        <v>3831</v>
      </c>
      <c r="D2168" s="168" t="s">
        <v>6102</v>
      </c>
      <c r="E2168" s="168" t="s">
        <v>2294</v>
      </c>
      <c r="F2168" s="168" t="s">
        <v>4623</v>
      </c>
      <c r="G2168" s="168" t="s">
        <v>4623</v>
      </c>
      <c r="H2168" s="292" t="s">
        <v>4623</v>
      </c>
      <c r="I2168" s="293" t="s">
        <v>4623</v>
      </c>
      <c r="J2168" s="293" t="s">
        <v>4623</v>
      </c>
      <c r="K2168" s="290" t="s">
        <v>4623</v>
      </c>
      <c r="L2168" s="290" t="s">
        <v>4623</v>
      </c>
      <c r="M2168" s="290" t="s">
        <v>4623</v>
      </c>
      <c r="N2168" s="290" t="s">
        <v>4623</v>
      </c>
      <c r="O2168" s="290" t="s">
        <v>4623</v>
      </c>
      <c r="P2168" s="290" t="s">
        <v>999</v>
      </c>
      <c r="Q2168" s="291" t="s">
        <v>4623</v>
      </c>
      <c r="R2168" s="276"/>
      <c r="S2168" s="277">
        <f>IF(OR(C2168="",C2168=T$4),NA(),MATCH($B2168&amp;$C2168,'Smelter Reference List'!$J:$J,0))</f>
        <v>502</v>
      </c>
      <c r="T2168" s="278"/>
      <c r="U2168" s="278"/>
      <c r="V2168" s="278"/>
      <c r="W2168" s="278"/>
    </row>
    <row r="2169" spans="1:23" s="269" customFormat="1" ht="20.25">
      <c r="A2169" s="267"/>
      <c r="B2169" s="275" t="s">
        <v>2439</v>
      </c>
      <c r="C2169" s="275" t="s">
        <v>3831</v>
      </c>
      <c r="D2169" s="168" t="s">
        <v>8008</v>
      </c>
      <c r="E2169" s="168" t="s">
        <v>2294</v>
      </c>
      <c r="F2169" s="168" t="s">
        <v>4623</v>
      </c>
      <c r="G2169" s="168" t="s">
        <v>4623</v>
      </c>
      <c r="H2169" s="292" t="s">
        <v>4623</v>
      </c>
      <c r="I2169" s="293" t="s">
        <v>4623</v>
      </c>
      <c r="J2169" s="293" t="s">
        <v>4623</v>
      </c>
      <c r="K2169" s="290" t="s">
        <v>4623</v>
      </c>
      <c r="L2169" s="290" t="s">
        <v>4623</v>
      </c>
      <c r="M2169" s="290" t="s">
        <v>4623</v>
      </c>
      <c r="N2169" s="290" t="s">
        <v>4623</v>
      </c>
      <c r="O2169" s="290" t="s">
        <v>4623</v>
      </c>
      <c r="P2169" s="290" t="s">
        <v>999</v>
      </c>
      <c r="Q2169" s="291" t="s">
        <v>4623</v>
      </c>
      <c r="R2169" s="276"/>
      <c r="S2169" s="277">
        <f>IF(OR(C2169="",C2169=T$4),NA(),MATCH($B2169&amp;$C2169,'Smelter Reference List'!$J:$J,0))</f>
        <v>502</v>
      </c>
      <c r="T2169" s="278"/>
      <c r="U2169" s="278"/>
      <c r="V2169" s="278"/>
      <c r="W2169" s="278"/>
    </row>
    <row r="2170" spans="1:23" s="269" customFormat="1" ht="20.25">
      <c r="A2170" s="267"/>
      <c r="B2170" s="275" t="s">
        <v>2439</v>
      </c>
      <c r="C2170" s="275" t="s">
        <v>3831</v>
      </c>
      <c r="D2170" s="168" t="s">
        <v>8009</v>
      </c>
      <c r="E2170" s="168" t="s">
        <v>2294</v>
      </c>
      <c r="F2170" s="168" t="s">
        <v>4623</v>
      </c>
      <c r="G2170" s="168" t="s">
        <v>4623</v>
      </c>
      <c r="H2170" s="292" t="s">
        <v>8010</v>
      </c>
      <c r="I2170" s="293" t="s">
        <v>8011</v>
      </c>
      <c r="J2170" s="293" t="s">
        <v>6106</v>
      </c>
      <c r="K2170" s="290" t="s">
        <v>8012</v>
      </c>
      <c r="L2170" s="290" t="s">
        <v>8013</v>
      </c>
      <c r="M2170" s="290" t="s">
        <v>5107</v>
      </c>
      <c r="N2170" s="290" t="s">
        <v>4667</v>
      </c>
      <c r="O2170" s="290" t="s">
        <v>4623</v>
      </c>
      <c r="P2170" s="290" t="s">
        <v>999</v>
      </c>
      <c r="Q2170" s="291" t="s">
        <v>4623</v>
      </c>
      <c r="R2170" s="276"/>
      <c r="S2170" s="277">
        <f>IF(OR(C2170="",C2170=T$4),NA(),MATCH($B2170&amp;$C2170,'Smelter Reference List'!$J:$J,0))</f>
        <v>502</v>
      </c>
      <c r="T2170" s="278"/>
      <c r="U2170" s="278"/>
      <c r="V2170" s="278"/>
      <c r="W2170" s="278"/>
    </row>
    <row r="2171" spans="1:23" s="269" customFormat="1" ht="20.25">
      <c r="A2171" s="267"/>
      <c r="B2171" s="275" t="s">
        <v>2439</v>
      </c>
      <c r="C2171" s="275" t="s">
        <v>3831</v>
      </c>
      <c r="D2171" s="168" t="s">
        <v>8014</v>
      </c>
      <c r="E2171" s="168" t="s">
        <v>2294</v>
      </c>
      <c r="F2171" s="168" t="s">
        <v>4623</v>
      </c>
      <c r="G2171" s="168" t="s">
        <v>4623</v>
      </c>
      <c r="H2171" s="292" t="s">
        <v>4623</v>
      </c>
      <c r="I2171" s="293" t="s">
        <v>4623</v>
      </c>
      <c r="J2171" s="293" t="s">
        <v>4623</v>
      </c>
      <c r="K2171" s="290" t="s">
        <v>4623</v>
      </c>
      <c r="L2171" s="290" t="s">
        <v>4623</v>
      </c>
      <c r="M2171" s="290" t="s">
        <v>4623</v>
      </c>
      <c r="N2171" s="290" t="s">
        <v>4623</v>
      </c>
      <c r="O2171" s="290" t="s">
        <v>4623</v>
      </c>
      <c r="P2171" s="290" t="s">
        <v>999</v>
      </c>
      <c r="Q2171" s="291" t="s">
        <v>4623</v>
      </c>
      <c r="R2171" s="276"/>
      <c r="S2171" s="277">
        <f>IF(OR(C2171="",C2171=T$4),NA(),MATCH($B2171&amp;$C2171,'Smelter Reference List'!$J:$J,0))</f>
        <v>502</v>
      </c>
      <c r="T2171" s="278"/>
      <c r="U2171" s="278"/>
      <c r="V2171" s="278"/>
      <c r="W2171" s="278"/>
    </row>
    <row r="2172" spans="1:23" s="269" customFormat="1" ht="20.25">
      <c r="A2172" s="267"/>
      <c r="B2172" s="275" t="s">
        <v>2439</v>
      </c>
      <c r="C2172" s="275" t="s">
        <v>3831</v>
      </c>
      <c r="D2172" s="168" t="s">
        <v>8015</v>
      </c>
      <c r="E2172" s="168" t="s">
        <v>2294</v>
      </c>
      <c r="F2172" s="168" t="s">
        <v>4623</v>
      </c>
      <c r="G2172" s="168" t="s">
        <v>4623</v>
      </c>
      <c r="H2172" s="292" t="s">
        <v>4623</v>
      </c>
      <c r="I2172" s="293" t="s">
        <v>4623</v>
      </c>
      <c r="J2172" s="293" t="s">
        <v>4623</v>
      </c>
      <c r="K2172" s="290" t="s">
        <v>4623</v>
      </c>
      <c r="L2172" s="290" t="s">
        <v>4623</v>
      </c>
      <c r="M2172" s="290" t="s">
        <v>4623</v>
      </c>
      <c r="N2172" s="290" t="s">
        <v>4623</v>
      </c>
      <c r="O2172" s="290" t="s">
        <v>4623</v>
      </c>
      <c r="P2172" s="290" t="s">
        <v>999</v>
      </c>
      <c r="Q2172" s="291" t="s">
        <v>4623</v>
      </c>
      <c r="R2172" s="276"/>
      <c r="S2172" s="277">
        <f>IF(OR(C2172="",C2172=T$4),NA(),MATCH($B2172&amp;$C2172,'Smelter Reference List'!$J:$J,0))</f>
        <v>502</v>
      </c>
      <c r="T2172" s="278"/>
      <c r="U2172" s="278"/>
      <c r="V2172" s="278"/>
      <c r="W2172" s="278"/>
    </row>
    <row r="2173" spans="1:23" s="269" customFormat="1" ht="20.25">
      <c r="A2173" s="267"/>
      <c r="B2173" s="275" t="s">
        <v>2439</v>
      </c>
      <c r="C2173" s="275" t="s">
        <v>3831</v>
      </c>
      <c r="D2173" s="168" t="s">
        <v>8016</v>
      </c>
      <c r="E2173" s="168" t="s">
        <v>2294</v>
      </c>
      <c r="F2173" s="168" t="s">
        <v>4623</v>
      </c>
      <c r="G2173" s="168" t="s">
        <v>4623</v>
      </c>
      <c r="H2173" s="292" t="s">
        <v>4623</v>
      </c>
      <c r="I2173" s="293" t="s">
        <v>4623</v>
      </c>
      <c r="J2173" s="293" t="s">
        <v>4623</v>
      </c>
      <c r="K2173" s="290" t="s">
        <v>4623</v>
      </c>
      <c r="L2173" s="290" t="s">
        <v>4623</v>
      </c>
      <c r="M2173" s="290" t="s">
        <v>4623</v>
      </c>
      <c r="N2173" s="290" t="s">
        <v>4623</v>
      </c>
      <c r="O2173" s="290" t="s">
        <v>4623</v>
      </c>
      <c r="P2173" s="290" t="s">
        <v>999</v>
      </c>
      <c r="Q2173" s="291" t="s">
        <v>4623</v>
      </c>
      <c r="R2173" s="276"/>
      <c r="S2173" s="277">
        <f>IF(OR(C2173="",C2173=T$4),NA(),MATCH($B2173&amp;$C2173,'Smelter Reference List'!$J:$J,0))</f>
        <v>502</v>
      </c>
      <c r="T2173" s="278"/>
      <c r="U2173" s="278"/>
      <c r="V2173" s="278"/>
      <c r="W2173" s="278"/>
    </row>
    <row r="2174" spans="1:23" s="269" customFormat="1" ht="20.25">
      <c r="A2174" s="267"/>
      <c r="B2174" s="275" t="s">
        <v>2439</v>
      </c>
      <c r="C2174" s="275" t="s">
        <v>3831</v>
      </c>
      <c r="D2174" s="168" t="s">
        <v>8017</v>
      </c>
      <c r="E2174" s="168" t="s">
        <v>2294</v>
      </c>
      <c r="F2174" s="168" t="s">
        <v>4623</v>
      </c>
      <c r="G2174" s="168" t="s">
        <v>4623</v>
      </c>
      <c r="H2174" s="292" t="s">
        <v>4623</v>
      </c>
      <c r="I2174" s="293" t="s">
        <v>4623</v>
      </c>
      <c r="J2174" s="293" t="s">
        <v>4623</v>
      </c>
      <c r="K2174" s="290" t="s">
        <v>4623</v>
      </c>
      <c r="L2174" s="290" t="s">
        <v>4623</v>
      </c>
      <c r="M2174" s="290" t="s">
        <v>4623</v>
      </c>
      <c r="N2174" s="290" t="s">
        <v>4623</v>
      </c>
      <c r="O2174" s="290" t="s">
        <v>4623</v>
      </c>
      <c r="P2174" s="290" t="s">
        <v>999</v>
      </c>
      <c r="Q2174" s="291" t="s">
        <v>4623</v>
      </c>
      <c r="R2174" s="276"/>
      <c r="S2174" s="277">
        <f>IF(OR(C2174="",C2174=T$4),NA(),MATCH($B2174&amp;$C2174,'Smelter Reference List'!$J:$J,0))</f>
        <v>502</v>
      </c>
      <c r="T2174" s="278"/>
      <c r="U2174" s="278"/>
      <c r="V2174" s="278"/>
      <c r="W2174" s="278"/>
    </row>
    <row r="2175" spans="1:23" s="269" customFormat="1" ht="20.25">
      <c r="A2175" s="267"/>
      <c r="B2175" s="275" t="s">
        <v>2439</v>
      </c>
      <c r="C2175" s="275" t="s">
        <v>3831</v>
      </c>
      <c r="D2175" s="168" t="s">
        <v>5007</v>
      </c>
      <c r="E2175" s="168" t="s">
        <v>2294</v>
      </c>
      <c r="F2175" s="168" t="s">
        <v>4623</v>
      </c>
      <c r="G2175" s="168" t="s">
        <v>4623</v>
      </c>
      <c r="H2175" s="292" t="s">
        <v>4623</v>
      </c>
      <c r="I2175" s="293" t="s">
        <v>4623</v>
      </c>
      <c r="J2175" s="293" t="s">
        <v>4623</v>
      </c>
      <c r="K2175" s="290" t="s">
        <v>4623</v>
      </c>
      <c r="L2175" s="290" t="s">
        <v>4623</v>
      </c>
      <c r="M2175" s="290" t="s">
        <v>4623</v>
      </c>
      <c r="N2175" s="290" t="s">
        <v>4623</v>
      </c>
      <c r="O2175" s="290" t="s">
        <v>4623</v>
      </c>
      <c r="P2175" s="290" t="s">
        <v>999</v>
      </c>
      <c r="Q2175" s="291" t="s">
        <v>4623</v>
      </c>
      <c r="R2175" s="276"/>
      <c r="S2175" s="277">
        <f>IF(OR(C2175="",C2175=T$4),NA(),MATCH($B2175&amp;$C2175,'Smelter Reference List'!$J:$J,0))</f>
        <v>502</v>
      </c>
      <c r="T2175" s="278"/>
      <c r="U2175" s="278"/>
      <c r="V2175" s="278"/>
      <c r="W2175" s="278"/>
    </row>
    <row r="2176" spans="1:23" s="269" customFormat="1" ht="20.25">
      <c r="A2176" s="267"/>
      <c r="B2176" s="275" t="s">
        <v>2439</v>
      </c>
      <c r="C2176" s="275" t="s">
        <v>3831</v>
      </c>
      <c r="D2176" s="168" t="s">
        <v>8018</v>
      </c>
      <c r="E2176" s="168" t="s">
        <v>2294</v>
      </c>
      <c r="F2176" s="168" t="s">
        <v>4623</v>
      </c>
      <c r="G2176" s="168" t="s">
        <v>4623</v>
      </c>
      <c r="H2176" s="292" t="s">
        <v>4623</v>
      </c>
      <c r="I2176" s="293" t="s">
        <v>4623</v>
      </c>
      <c r="J2176" s="293" t="s">
        <v>4623</v>
      </c>
      <c r="K2176" s="290" t="s">
        <v>4623</v>
      </c>
      <c r="L2176" s="290" t="s">
        <v>4623</v>
      </c>
      <c r="M2176" s="290" t="s">
        <v>4623</v>
      </c>
      <c r="N2176" s="290" t="s">
        <v>4623</v>
      </c>
      <c r="O2176" s="290" t="s">
        <v>4623</v>
      </c>
      <c r="P2176" s="290" t="s">
        <v>999</v>
      </c>
      <c r="Q2176" s="291" t="s">
        <v>4623</v>
      </c>
      <c r="R2176" s="276"/>
      <c r="S2176" s="277">
        <f>IF(OR(C2176="",C2176=T$4),NA(),MATCH($B2176&amp;$C2176,'Smelter Reference List'!$J:$J,0))</f>
        <v>502</v>
      </c>
      <c r="T2176" s="278"/>
      <c r="U2176" s="278"/>
      <c r="V2176" s="278"/>
      <c r="W2176" s="278"/>
    </row>
    <row r="2177" spans="1:23" s="269" customFormat="1" ht="20.25">
      <c r="A2177" s="267"/>
      <c r="B2177" s="275" t="s">
        <v>2439</v>
      </c>
      <c r="C2177" s="275" t="s">
        <v>3831</v>
      </c>
      <c r="D2177" s="168" t="s">
        <v>8019</v>
      </c>
      <c r="E2177" s="168" t="s">
        <v>2294</v>
      </c>
      <c r="F2177" s="168" t="s">
        <v>8020</v>
      </c>
      <c r="G2177" s="168" t="s">
        <v>3324</v>
      </c>
      <c r="H2177" s="292" t="s">
        <v>4623</v>
      </c>
      <c r="I2177" s="293" t="s">
        <v>4623</v>
      </c>
      <c r="J2177" s="293" t="s">
        <v>4623</v>
      </c>
      <c r="K2177" s="290" t="s">
        <v>4623</v>
      </c>
      <c r="L2177" s="290" t="s">
        <v>4623</v>
      </c>
      <c r="M2177" s="290" t="s">
        <v>4623</v>
      </c>
      <c r="N2177" s="290" t="s">
        <v>4623</v>
      </c>
      <c r="O2177" s="290" t="s">
        <v>4623</v>
      </c>
      <c r="P2177" s="290" t="s">
        <v>999</v>
      </c>
      <c r="Q2177" s="291" t="s">
        <v>4623</v>
      </c>
      <c r="R2177" s="276"/>
      <c r="S2177" s="277">
        <f>IF(OR(C2177="",C2177=T$4),NA(),MATCH($B2177&amp;$C2177,'Smelter Reference List'!$J:$J,0))</f>
        <v>502</v>
      </c>
      <c r="T2177" s="278"/>
      <c r="U2177" s="278"/>
      <c r="V2177" s="278"/>
      <c r="W2177" s="278"/>
    </row>
    <row r="2178" spans="1:23" s="269" customFormat="1" ht="20.25">
      <c r="A2178" s="267"/>
      <c r="B2178" s="275" t="s">
        <v>2439</v>
      </c>
      <c r="C2178" s="275" t="s">
        <v>3831</v>
      </c>
      <c r="D2178" s="168" t="s">
        <v>6122</v>
      </c>
      <c r="E2178" s="168" t="s">
        <v>2294</v>
      </c>
      <c r="F2178" s="168" t="s">
        <v>4623</v>
      </c>
      <c r="G2178" s="168" t="s">
        <v>4623</v>
      </c>
      <c r="H2178" s="292" t="s">
        <v>8021</v>
      </c>
      <c r="I2178" s="293" t="s">
        <v>5163</v>
      </c>
      <c r="J2178" s="293" t="s">
        <v>3408</v>
      </c>
      <c r="K2178" s="290" t="s">
        <v>6588</v>
      </c>
      <c r="L2178" s="290" t="s">
        <v>6589</v>
      </c>
      <c r="M2178" s="290" t="s">
        <v>4623</v>
      </c>
      <c r="N2178" s="290" t="s">
        <v>4623</v>
      </c>
      <c r="O2178" s="290" t="s">
        <v>4623</v>
      </c>
      <c r="P2178" s="290" t="s">
        <v>999</v>
      </c>
      <c r="Q2178" s="291" t="s">
        <v>4817</v>
      </c>
      <c r="R2178" s="276"/>
      <c r="S2178" s="277">
        <f>IF(OR(C2178="",C2178=T$4),NA(),MATCH($B2178&amp;$C2178,'Smelter Reference List'!$J:$J,0))</f>
        <v>502</v>
      </c>
      <c r="T2178" s="278"/>
      <c r="U2178" s="278"/>
      <c r="V2178" s="278"/>
      <c r="W2178" s="278"/>
    </row>
    <row r="2179" spans="1:23" s="269" customFormat="1" ht="20.25">
      <c r="A2179" s="267"/>
      <c r="B2179" s="275" t="s">
        <v>2439</v>
      </c>
      <c r="C2179" s="275" t="s">
        <v>3831</v>
      </c>
      <c r="D2179" s="168" t="s">
        <v>8022</v>
      </c>
      <c r="E2179" s="168" t="s">
        <v>2294</v>
      </c>
      <c r="F2179" s="168" t="s">
        <v>4623</v>
      </c>
      <c r="G2179" s="168" t="s">
        <v>4623</v>
      </c>
      <c r="H2179" s="292" t="s">
        <v>4623</v>
      </c>
      <c r="I2179" s="293" t="s">
        <v>4623</v>
      </c>
      <c r="J2179" s="293" t="s">
        <v>4623</v>
      </c>
      <c r="K2179" s="290" t="s">
        <v>4623</v>
      </c>
      <c r="L2179" s="290" t="s">
        <v>4623</v>
      </c>
      <c r="M2179" s="290" t="s">
        <v>4623</v>
      </c>
      <c r="N2179" s="290" t="s">
        <v>4623</v>
      </c>
      <c r="O2179" s="290" t="s">
        <v>4623</v>
      </c>
      <c r="P2179" s="290" t="s">
        <v>999</v>
      </c>
      <c r="Q2179" s="291" t="s">
        <v>4623</v>
      </c>
      <c r="R2179" s="276"/>
      <c r="S2179" s="277">
        <f>IF(OR(C2179="",C2179=T$4),NA(),MATCH($B2179&amp;$C2179,'Smelter Reference List'!$J:$J,0))</f>
        <v>502</v>
      </c>
      <c r="T2179" s="278"/>
      <c r="U2179" s="278"/>
      <c r="V2179" s="278"/>
      <c r="W2179" s="278"/>
    </row>
    <row r="2180" spans="1:23" s="269" customFormat="1" ht="20.25">
      <c r="A2180" s="267"/>
      <c r="B2180" s="275" t="s">
        <v>2439</v>
      </c>
      <c r="C2180" s="275" t="s">
        <v>3831</v>
      </c>
      <c r="D2180" s="168" t="s">
        <v>8023</v>
      </c>
      <c r="E2180" s="168" t="s">
        <v>2294</v>
      </c>
      <c r="F2180" s="168" t="s">
        <v>4623</v>
      </c>
      <c r="G2180" s="168" t="s">
        <v>4623</v>
      </c>
      <c r="H2180" s="292" t="s">
        <v>4623</v>
      </c>
      <c r="I2180" s="293" t="s">
        <v>4623</v>
      </c>
      <c r="J2180" s="293" t="s">
        <v>4623</v>
      </c>
      <c r="K2180" s="290" t="s">
        <v>4623</v>
      </c>
      <c r="L2180" s="290" t="s">
        <v>4623</v>
      </c>
      <c r="M2180" s="290" t="s">
        <v>4623</v>
      </c>
      <c r="N2180" s="290" t="s">
        <v>4623</v>
      </c>
      <c r="O2180" s="290" t="s">
        <v>4623</v>
      </c>
      <c r="P2180" s="290" t="s">
        <v>999</v>
      </c>
      <c r="Q2180" s="291" t="s">
        <v>4623</v>
      </c>
      <c r="R2180" s="276"/>
      <c r="S2180" s="277">
        <f>IF(OR(C2180="",C2180=T$4),NA(),MATCH($B2180&amp;$C2180,'Smelter Reference List'!$J:$J,0))</f>
        <v>502</v>
      </c>
      <c r="T2180" s="278"/>
      <c r="U2180" s="278"/>
      <c r="V2180" s="278"/>
      <c r="W2180" s="278"/>
    </row>
    <row r="2181" spans="1:23" s="269" customFormat="1" ht="20.25">
      <c r="A2181" s="267"/>
      <c r="B2181" s="275" t="s">
        <v>2439</v>
      </c>
      <c r="C2181" s="275" t="s">
        <v>3831</v>
      </c>
      <c r="D2181" s="168" t="s">
        <v>8024</v>
      </c>
      <c r="E2181" s="168" t="s">
        <v>2294</v>
      </c>
      <c r="F2181" s="168" t="s">
        <v>4623</v>
      </c>
      <c r="G2181" s="168" t="s">
        <v>4623</v>
      </c>
      <c r="H2181" s="292" t="s">
        <v>4623</v>
      </c>
      <c r="I2181" s="293" t="s">
        <v>4623</v>
      </c>
      <c r="J2181" s="293" t="s">
        <v>4623</v>
      </c>
      <c r="K2181" s="290" t="s">
        <v>4623</v>
      </c>
      <c r="L2181" s="290" t="s">
        <v>4623</v>
      </c>
      <c r="M2181" s="290" t="s">
        <v>4623</v>
      </c>
      <c r="N2181" s="290" t="s">
        <v>4623</v>
      </c>
      <c r="O2181" s="290" t="s">
        <v>4623</v>
      </c>
      <c r="P2181" s="290" t="s">
        <v>999</v>
      </c>
      <c r="Q2181" s="291" t="s">
        <v>4623</v>
      </c>
      <c r="R2181" s="276"/>
      <c r="S2181" s="277">
        <f>IF(OR(C2181="",C2181=T$4),NA(),MATCH($B2181&amp;$C2181,'Smelter Reference List'!$J:$J,0))</f>
        <v>502</v>
      </c>
      <c r="T2181" s="278"/>
      <c r="U2181" s="278"/>
      <c r="V2181" s="278"/>
      <c r="W2181" s="278"/>
    </row>
    <row r="2182" spans="1:23" s="269" customFormat="1" ht="20.25">
      <c r="A2182" s="267"/>
      <c r="B2182" s="275" t="s">
        <v>2439</v>
      </c>
      <c r="C2182" s="275" t="s">
        <v>3831</v>
      </c>
      <c r="D2182" s="168" t="s">
        <v>8025</v>
      </c>
      <c r="E2182" s="168" t="s">
        <v>2294</v>
      </c>
      <c r="F2182" s="168" t="s">
        <v>4623</v>
      </c>
      <c r="G2182" s="168" t="s">
        <v>4623</v>
      </c>
      <c r="H2182" s="292" t="s">
        <v>4623</v>
      </c>
      <c r="I2182" s="293" t="s">
        <v>4623</v>
      </c>
      <c r="J2182" s="293" t="s">
        <v>4623</v>
      </c>
      <c r="K2182" s="290" t="s">
        <v>4623</v>
      </c>
      <c r="L2182" s="290" t="s">
        <v>4623</v>
      </c>
      <c r="M2182" s="290" t="s">
        <v>4623</v>
      </c>
      <c r="N2182" s="290" t="s">
        <v>4623</v>
      </c>
      <c r="O2182" s="290" t="s">
        <v>4623</v>
      </c>
      <c r="P2182" s="290" t="s">
        <v>999</v>
      </c>
      <c r="Q2182" s="291" t="s">
        <v>4623</v>
      </c>
      <c r="R2182" s="276"/>
      <c r="S2182" s="277">
        <f>IF(OR(C2182="",C2182=T$4),NA(),MATCH($B2182&amp;$C2182,'Smelter Reference List'!$J:$J,0))</f>
        <v>502</v>
      </c>
      <c r="T2182" s="278"/>
      <c r="U2182" s="278"/>
      <c r="V2182" s="278"/>
      <c r="W2182" s="278"/>
    </row>
    <row r="2183" spans="1:23" s="269" customFormat="1" ht="20.25">
      <c r="A2183" s="267"/>
      <c r="B2183" s="275" t="s">
        <v>2439</v>
      </c>
      <c r="C2183" s="275" t="s">
        <v>3831</v>
      </c>
      <c r="D2183" s="168" t="s">
        <v>6176</v>
      </c>
      <c r="E2183" s="168" t="s">
        <v>2294</v>
      </c>
      <c r="F2183" s="168" t="s">
        <v>4623</v>
      </c>
      <c r="G2183" s="168" t="s">
        <v>4623</v>
      </c>
      <c r="H2183" s="292" t="s">
        <v>4623</v>
      </c>
      <c r="I2183" s="293" t="s">
        <v>4623</v>
      </c>
      <c r="J2183" s="293" t="s">
        <v>4623</v>
      </c>
      <c r="K2183" s="290" t="s">
        <v>4623</v>
      </c>
      <c r="L2183" s="290" t="s">
        <v>4623</v>
      </c>
      <c r="M2183" s="290" t="s">
        <v>4623</v>
      </c>
      <c r="N2183" s="290" t="s">
        <v>4623</v>
      </c>
      <c r="O2183" s="290" t="s">
        <v>4623</v>
      </c>
      <c r="P2183" s="290" t="s">
        <v>999</v>
      </c>
      <c r="Q2183" s="291" t="s">
        <v>4623</v>
      </c>
      <c r="R2183" s="276"/>
      <c r="S2183" s="277">
        <f>IF(OR(C2183="",C2183=T$4),NA(),MATCH($B2183&amp;$C2183,'Smelter Reference List'!$J:$J,0))</f>
        <v>502</v>
      </c>
      <c r="T2183" s="278"/>
      <c r="U2183" s="278"/>
      <c r="V2183" s="278"/>
      <c r="W2183" s="278"/>
    </row>
    <row r="2184" spans="1:23" s="269" customFormat="1" ht="20.25">
      <c r="A2184" s="267"/>
      <c r="B2184" s="275" t="s">
        <v>2439</v>
      </c>
      <c r="C2184" s="275" t="s">
        <v>3831</v>
      </c>
      <c r="D2184" s="168" t="s">
        <v>8026</v>
      </c>
      <c r="E2184" s="168" t="s">
        <v>2294</v>
      </c>
      <c r="F2184" s="168" t="s">
        <v>4623</v>
      </c>
      <c r="G2184" s="168" t="s">
        <v>4623</v>
      </c>
      <c r="H2184" s="292" t="s">
        <v>4623</v>
      </c>
      <c r="I2184" s="293" t="s">
        <v>4623</v>
      </c>
      <c r="J2184" s="293" t="s">
        <v>4623</v>
      </c>
      <c r="K2184" s="290" t="s">
        <v>4623</v>
      </c>
      <c r="L2184" s="290" t="s">
        <v>4623</v>
      </c>
      <c r="M2184" s="290" t="s">
        <v>4623</v>
      </c>
      <c r="N2184" s="290" t="s">
        <v>4623</v>
      </c>
      <c r="O2184" s="290" t="s">
        <v>4623</v>
      </c>
      <c r="P2184" s="290" t="s">
        <v>999</v>
      </c>
      <c r="Q2184" s="291" t="s">
        <v>4623</v>
      </c>
      <c r="R2184" s="276"/>
      <c r="S2184" s="277">
        <f>IF(OR(C2184="",C2184=T$4),NA(),MATCH($B2184&amp;$C2184,'Smelter Reference List'!$J:$J,0))</f>
        <v>502</v>
      </c>
      <c r="T2184" s="278"/>
      <c r="U2184" s="278"/>
      <c r="V2184" s="278"/>
      <c r="W2184" s="278"/>
    </row>
    <row r="2185" spans="1:23" s="269" customFormat="1" ht="20.25">
      <c r="A2185" s="267"/>
      <c r="B2185" s="275" t="s">
        <v>2439</v>
      </c>
      <c r="C2185" s="275" t="s">
        <v>3831</v>
      </c>
      <c r="D2185" s="168" t="s">
        <v>8027</v>
      </c>
      <c r="E2185" s="168" t="s">
        <v>2294</v>
      </c>
      <c r="F2185" s="168" t="s">
        <v>4623</v>
      </c>
      <c r="G2185" s="168" t="s">
        <v>4623</v>
      </c>
      <c r="H2185" s="292" t="s">
        <v>4623</v>
      </c>
      <c r="I2185" s="293" t="s">
        <v>4623</v>
      </c>
      <c r="J2185" s="293" t="s">
        <v>4623</v>
      </c>
      <c r="K2185" s="290" t="s">
        <v>4623</v>
      </c>
      <c r="L2185" s="290" t="s">
        <v>4623</v>
      </c>
      <c r="M2185" s="290" t="s">
        <v>4623</v>
      </c>
      <c r="N2185" s="290" t="s">
        <v>4623</v>
      </c>
      <c r="O2185" s="290" t="s">
        <v>4623</v>
      </c>
      <c r="P2185" s="290" t="s">
        <v>999</v>
      </c>
      <c r="Q2185" s="291" t="s">
        <v>4623</v>
      </c>
      <c r="R2185" s="276"/>
      <c r="S2185" s="277">
        <f>IF(OR(C2185="",C2185=T$4),NA(),MATCH($B2185&amp;$C2185,'Smelter Reference List'!$J:$J,0))</f>
        <v>502</v>
      </c>
      <c r="T2185" s="278"/>
      <c r="U2185" s="278"/>
      <c r="V2185" s="278"/>
      <c r="W2185" s="278"/>
    </row>
    <row r="2186" spans="1:23" s="269" customFormat="1" ht="20.25">
      <c r="A2186" s="267"/>
      <c r="B2186" s="275" t="s">
        <v>2439</v>
      </c>
      <c r="C2186" s="275" t="s">
        <v>3831</v>
      </c>
      <c r="D2186" s="168" t="s">
        <v>5161</v>
      </c>
      <c r="E2186" s="168" t="s">
        <v>2294</v>
      </c>
      <c r="F2186" s="168" t="s">
        <v>4623</v>
      </c>
      <c r="G2186" s="168" t="s">
        <v>4623</v>
      </c>
      <c r="H2186" s="292" t="s">
        <v>8028</v>
      </c>
      <c r="I2186" s="293" t="s">
        <v>4623</v>
      </c>
      <c r="J2186" s="293" t="s">
        <v>3408</v>
      </c>
      <c r="K2186" s="290" t="s">
        <v>6130</v>
      </c>
      <c r="L2186" s="290" t="s">
        <v>5165</v>
      </c>
      <c r="M2186" s="290" t="s">
        <v>4623</v>
      </c>
      <c r="N2186" s="290" t="s">
        <v>4623</v>
      </c>
      <c r="O2186" s="290" t="s">
        <v>4623</v>
      </c>
      <c r="P2186" s="290" t="s">
        <v>999</v>
      </c>
      <c r="Q2186" s="291" t="s">
        <v>4623</v>
      </c>
      <c r="R2186" s="276"/>
      <c r="S2186" s="277">
        <f>IF(OR(C2186="",C2186=T$4),NA(),MATCH($B2186&amp;$C2186,'Smelter Reference List'!$J:$J,0))</f>
        <v>502</v>
      </c>
      <c r="T2186" s="278"/>
      <c r="U2186" s="278"/>
      <c r="V2186" s="278"/>
      <c r="W2186" s="278"/>
    </row>
    <row r="2187" spans="1:23" s="269" customFormat="1" ht="20.25">
      <c r="A2187" s="267"/>
      <c r="B2187" s="275" t="s">
        <v>2439</v>
      </c>
      <c r="C2187" s="275" t="s">
        <v>3831</v>
      </c>
      <c r="D2187" s="168" t="s">
        <v>8029</v>
      </c>
      <c r="E2187" s="168" t="s">
        <v>2294</v>
      </c>
      <c r="F2187" s="168" t="s">
        <v>4623</v>
      </c>
      <c r="G2187" s="168" t="s">
        <v>4623</v>
      </c>
      <c r="H2187" s="292" t="s">
        <v>8030</v>
      </c>
      <c r="I2187" s="293" t="s">
        <v>8031</v>
      </c>
      <c r="J2187" s="293" t="s">
        <v>8032</v>
      </c>
      <c r="K2187" s="290" t="s">
        <v>8033</v>
      </c>
      <c r="L2187" s="290" t="s">
        <v>5176</v>
      </c>
      <c r="M2187" s="290" t="s">
        <v>4623</v>
      </c>
      <c r="N2187" s="290" t="s">
        <v>4623</v>
      </c>
      <c r="O2187" s="290" t="s">
        <v>4667</v>
      </c>
      <c r="P2187" s="290" t="s">
        <v>999</v>
      </c>
      <c r="Q2187" s="291" t="s">
        <v>4623</v>
      </c>
      <c r="R2187" s="276"/>
      <c r="S2187" s="277">
        <f>IF(OR(C2187="",C2187=T$4),NA(),MATCH($B2187&amp;$C2187,'Smelter Reference List'!$J:$J,0))</f>
        <v>502</v>
      </c>
      <c r="T2187" s="278"/>
      <c r="U2187" s="278"/>
      <c r="V2187" s="278"/>
      <c r="W2187" s="278"/>
    </row>
    <row r="2188" spans="1:23" s="269" customFormat="1" ht="20.25">
      <c r="A2188" s="267"/>
      <c r="B2188" s="275" t="s">
        <v>2439</v>
      </c>
      <c r="C2188" s="275" t="s">
        <v>3831</v>
      </c>
      <c r="D2188" s="168" t="s">
        <v>8034</v>
      </c>
      <c r="E2188" s="168" t="s">
        <v>2294</v>
      </c>
      <c r="F2188" s="168" t="s">
        <v>4623</v>
      </c>
      <c r="G2188" s="168" t="s">
        <v>4623</v>
      </c>
      <c r="H2188" s="292" t="s">
        <v>4623</v>
      </c>
      <c r="I2188" s="293" t="s">
        <v>4623</v>
      </c>
      <c r="J2188" s="293" t="s">
        <v>4623</v>
      </c>
      <c r="K2188" s="290" t="s">
        <v>4623</v>
      </c>
      <c r="L2188" s="290" t="s">
        <v>4623</v>
      </c>
      <c r="M2188" s="290" t="s">
        <v>4623</v>
      </c>
      <c r="N2188" s="290" t="s">
        <v>4623</v>
      </c>
      <c r="O2188" s="290" t="s">
        <v>4623</v>
      </c>
      <c r="P2188" s="290" t="s">
        <v>999</v>
      </c>
      <c r="Q2188" s="291" t="s">
        <v>4623</v>
      </c>
      <c r="R2188" s="276"/>
      <c r="S2188" s="277">
        <f>IF(OR(C2188="",C2188=T$4),NA(),MATCH($B2188&amp;$C2188,'Smelter Reference List'!$J:$J,0))</f>
        <v>502</v>
      </c>
      <c r="T2188" s="278"/>
      <c r="U2188" s="278"/>
      <c r="V2188" s="278"/>
      <c r="W2188" s="278"/>
    </row>
    <row r="2189" spans="1:23" s="269" customFormat="1" ht="20.25">
      <c r="A2189" s="267"/>
      <c r="B2189" s="275" t="s">
        <v>2439</v>
      </c>
      <c r="C2189" s="275" t="s">
        <v>3831</v>
      </c>
      <c r="D2189" s="168" t="s">
        <v>8035</v>
      </c>
      <c r="E2189" s="168" t="s">
        <v>2294</v>
      </c>
      <c r="F2189" s="168" t="s">
        <v>4623</v>
      </c>
      <c r="G2189" s="168" t="s">
        <v>4623</v>
      </c>
      <c r="H2189" s="292" t="s">
        <v>4623</v>
      </c>
      <c r="I2189" s="293" t="s">
        <v>4623</v>
      </c>
      <c r="J2189" s="293" t="s">
        <v>4623</v>
      </c>
      <c r="K2189" s="290" t="s">
        <v>8036</v>
      </c>
      <c r="L2189" s="290" t="s">
        <v>4623</v>
      </c>
      <c r="M2189" s="290" t="s">
        <v>4623</v>
      </c>
      <c r="N2189" s="290" t="s">
        <v>4623</v>
      </c>
      <c r="O2189" s="290" t="s">
        <v>8037</v>
      </c>
      <c r="P2189" s="290" t="s">
        <v>999</v>
      </c>
      <c r="Q2189" s="291" t="s">
        <v>4623</v>
      </c>
      <c r="R2189" s="276"/>
      <c r="S2189" s="277">
        <f>IF(OR(C2189="",C2189=T$4),NA(),MATCH($B2189&amp;$C2189,'Smelter Reference List'!$J:$J,0))</f>
        <v>502</v>
      </c>
      <c r="T2189" s="278"/>
      <c r="U2189" s="278"/>
      <c r="V2189" s="278"/>
      <c r="W2189" s="278"/>
    </row>
    <row r="2190" spans="1:23" s="269" customFormat="1" ht="20.25">
      <c r="A2190" s="267"/>
      <c r="B2190" s="275" t="s">
        <v>2439</v>
      </c>
      <c r="C2190" s="275" t="s">
        <v>3831</v>
      </c>
      <c r="D2190" s="168" t="s">
        <v>5261</v>
      </c>
      <c r="E2190" s="168" t="s">
        <v>2294</v>
      </c>
      <c r="F2190" s="168" t="s">
        <v>4623</v>
      </c>
      <c r="G2190" s="168" t="s">
        <v>4623</v>
      </c>
      <c r="H2190" s="292" t="s">
        <v>8038</v>
      </c>
      <c r="I2190" s="293" t="s">
        <v>8039</v>
      </c>
      <c r="J2190" s="293" t="s">
        <v>8040</v>
      </c>
      <c r="K2190" s="290" t="s">
        <v>8041</v>
      </c>
      <c r="L2190" s="290" t="s">
        <v>8042</v>
      </c>
      <c r="M2190" s="290" t="s">
        <v>4623</v>
      </c>
      <c r="N2190" s="290" t="s">
        <v>4623</v>
      </c>
      <c r="O2190" s="290" t="s">
        <v>4623</v>
      </c>
      <c r="P2190" s="290" t="s">
        <v>999</v>
      </c>
      <c r="Q2190" s="291" t="s">
        <v>4623</v>
      </c>
      <c r="R2190" s="276"/>
      <c r="S2190" s="277">
        <f>IF(OR(C2190="",C2190=T$4),NA(),MATCH($B2190&amp;$C2190,'Smelter Reference List'!$J:$J,0))</f>
        <v>502</v>
      </c>
      <c r="T2190" s="278"/>
      <c r="U2190" s="278"/>
      <c r="V2190" s="278"/>
      <c r="W2190" s="278"/>
    </row>
    <row r="2191" spans="1:23" s="269" customFormat="1" ht="20.25">
      <c r="A2191" s="267"/>
      <c r="B2191" s="275" t="s">
        <v>2439</v>
      </c>
      <c r="C2191" s="275" t="s">
        <v>3831</v>
      </c>
      <c r="D2191" s="168" t="s">
        <v>93</v>
      </c>
      <c r="E2191" s="168" t="s">
        <v>2294</v>
      </c>
      <c r="F2191" s="168" t="s">
        <v>4623</v>
      </c>
      <c r="G2191" s="168" t="s">
        <v>4623</v>
      </c>
      <c r="H2191" s="292" t="s">
        <v>4623</v>
      </c>
      <c r="I2191" s="293" t="s">
        <v>3408</v>
      </c>
      <c r="J2191" s="293" t="s">
        <v>4623</v>
      </c>
      <c r="K2191" s="290" t="s">
        <v>4623</v>
      </c>
      <c r="L2191" s="290" t="s">
        <v>5001</v>
      </c>
      <c r="M2191" s="290" t="s">
        <v>8043</v>
      </c>
      <c r="N2191" s="290" t="s">
        <v>4667</v>
      </c>
      <c r="O2191" s="290" t="s">
        <v>4623</v>
      </c>
      <c r="P2191" s="290" t="s">
        <v>999</v>
      </c>
      <c r="Q2191" s="291" t="s">
        <v>4623</v>
      </c>
      <c r="R2191" s="276"/>
      <c r="S2191" s="277">
        <f>IF(OR(C2191="",C2191=T$4),NA(),MATCH($B2191&amp;$C2191,'Smelter Reference List'!$J:$J,0))</f>
        <v>502</v>
      </c>
      <c r="T2191" s="278"/>
      <c r="U2191" s="278"/>
      <c r="V2191" s="278"/>
      <c r="W2191" s="278"/>
    </row>
    <row r="2192" spans="1:23" s="269" customFormat="1" ht="20.25">
      <c r="A2192" s="267"/>
      <c r="B2192" s="275" t="s">
        <v>2439</v>
      </c>
      <c r="C2192" s="275" t="s">
        <v>3831</v>
      </c>
      <c r="D2192" s="168" t="s">
        <v>5277</v>
      </c>
      <c r="E2192" s="168" t="s">
        <v>2294</v>
      </c>
      <c r="F2192" s="168" t="s">
        <v>4623</v>
      </c>
      <c r="G2192" s="168" t="s">
        <v>4623</v>
      </c>
      <c r="H2192" s="292" t="s">
        <v>4623</v>
      </c>
      <c r="I2192" s="293" t="s">
        <v>4623</v>
      </c>
      <c r="J2192" s="293" t="s">
        <v>4623</v>
      </c>
      <c r="K2192" s="290" t="s">
        <v>4623</v>
      </c>
      <c r="L2192" s="290" t="s">
        <v>4623</v>
      </c>
      <c r="M2192" s="290" t="s">
        <v>4623</v>
      </c>
      <c r="N2192" s="290" t="s">
        <v>4623</v>
      </c>
      <c r="O2192" s="290" t="s">
        <v>4623</v>
      </c>
      <c r="P2192" s="290" t="s">
        <v>999</v>
      </c>
      <c r="Q2192" s="291" t="s">
        <v>4623</v>
      </c>
      <c r="R2192" s="276"/>
      <c r="S2192" s="277">
        <f>IF(OR(C2192="",C2192=T$4),NA(),MATCH($B2192&amp;$C2192,'Smelter Reference List'!$J:$J,0))</f>
        <v>502</v>
      </c>
      <c r="T2192" s="278"/>
      <c r="U2192" s="278"/>
      <c r="V2192" s="278"/>
      <c r="W2192" s="278"/>
    </row>
    <row r="2193" spans="1:23" s="269" customFormat="1" ht="20.25">
      <c r="A2193" s="267"/>
      <c r="B2193" s="275" t="s">
        <v>2439</v>
      </c>
      <c r="C2193" s="275" t="s">
        <v>3831</v>
      </c>
      <c r="D2193" s="168" t="s">
        <v>8044</v>
      </c>
      <c r="E2193" s="168" t="s">
        <v>2294</v>
      </c>
      <c r="F2193" s="168" t="s">
        <v>4623</v>
      </c>
      <c r="G2193" s="168" t="s">
        <v>4623</v>
      </c>
      <c r="H2193" s="292" t="s">
        <v>8045</v>
      </c>
      <c r="I2193" s="293" t="s">
        <v>8046</v>
      </c>
      <c r="J2193" s="293" t="s">
        <v>4623</v>
      </c>
      <c r="K2193" s="290" t="s">
        <v>4623</v>
      </c>
      <c r="L2193" s="290" t="s">
        <v>4623</v>
      </c>
      <c r="M2193" s="290" t="s">
        <v>4623</v>
      </c>
      <c r="N2193" s="290" t="s">
        <v>4623</v>
      </c>
      <c r="O2193" s="290" t="s">
        <v>4623</v>
      </c>
      <c r="P2193" s="290" t="s">
        <v>999</v>
      </c>
      <c r="Q2193" s="291" t="s">
        <v>4623</v>
      </c>
      <c r="R2193" s="276"/>
      <c r="S2193" s="277">
        <f>IF(OR(C2193="",C2193=T$4),NA(),MATCH($B2193&amp;$C2193,'Smelter Reference List'!$J:$J,0))</f>
        <v>502</v>
      </c>
      <c r="T2193" s="278"/>
      <c r="U2193" s="278"/>
      <c r="V2193" s="278"/>
      <c r="W2193" s="278"/>
    </row>
    <row r="2194" spans="1:23" s="269" customFormat="1" ht="20.25">
      <c r="A2194" s="267"/>
      <c r="B2194" s="275" t="s">
        <v>2439</v>
      </c>
      <c r="C2194" s="275" t="s">
        <v>3831</v>
      </c>
      <c r="D2194" s="168" t="s">
        <v>8047</v>
      </c>
      <c r="E2194" s="168" t="s">
        <v>2294</v>
      </c>
      <c r="F2194" s="168" t="s">
        <v>4623</v>
      </c>
      <c r="G2194" s="168" t="s">
        <v>4623</v>
      </c>
      <c r="H2194" s="292" t="s">
        <v>4623</v>
      </c>
      <c r="I2194" s="293" t="s">
        <v>4623</v>
      </c>
      <c r="J2194" s="293" t="s">
        <v>4623</v>
      </c>
      <c r="K2194" s="290" t="s">
        <v>4623</v>
      </c>
      <c r="L2194" s="290" t="s">
        <v>4623</v>
      </c>
      <c r="M2194" s="290" t="s">
        <v>4623</v>
      </c>
      <c r="N2194" s="290" t="s">
        <v>4623</v>
      </c>
      <c r="O2194" s="290" t="s">
        <v>4623</v>
      </c>
      <c r="P2194" s="290" t="s">
        <v>999</v>
      </c>
      <c r="Q2194" s="291" t="s">
        <v>4623</v>
      </c>
      <c r="R2194" s="276"/>
      <c r="S2194" s="277">
        <f>IF(OR(C2194="",C2194=T$4),NA(),MATCH($B2194&amp;$C2194,'Smelter Reference List'!$J:$J,0))</f>
        <v>502</v>
      </c>
      <c r="T2194" s="278"/>
      <c r="U2194" s="278"/>
      <c r="V2194" s="278"/>
      <c r="W2194" s="278"/>
    </row>
    <row r="2195" spans="1:23" s="269" customFormat="1" ht="20.25">
      <c r="A2195" s="267"/>
      <c r="B2195" s="275" t="s">
        <v>2439</v>
      </c>
      <c r="C2195" s="275" t="s">
        <v>3831</v>
      </c>
      <c r="D2195" s="168" t="s">
        <v>8048</v>
      </c>
      <c r="E2195" s="168" t="s">
        <v>2294</v>
      </c>
      <c r="F2195" s="168" t="s">
        <v>4623</v>
      </c>
      <c r="G2195" s="168" t="s">
        <v>4623</v>
      </c>
      <c r="H2195" s="292" t="s">
        <v>4623</v>
      </c>
      <c r="I2195" s="293" t="s">
        <v>4623</v>
      </c>
      <c r="J2195" s="293" t="s">
        <v>4623</v>
      </c>
      <c r="K2195" s="290" t="s">
        <v>4623</v>
      </c>
      <c r="L2195" s="290" t="s">
        <v>4623</v>
      </c>
      <c r="M2195" s="290" t="s">
        <v>4623</v>
      </c>
      <c r="N2195" s="290" t="s">
        <v>4623</v>
      </c>
      <c r="O2195" s="290" t="s">
        <v>4623</v>
      </c>
      <c r="P2195" s="290" t="s">
        <v>999</v>
      </c>
      <c r="Q2195" s="291" t="s">
        <v>4623</v>
      </c>
      <c r="R2195" s="276"/>
      <c r="S2195" s="277">
        <f>IF(OR(C2195="",C2195=T$4),NA(),MATCH($B2195&amp;$C2195,'Smelter Reference List'!$J:$J,0))</f>
        <v>502</v>
      </c>
      <c r="T2195" s="278"/>
      <c r="U2195" s="278"/>
      <c r="V2195" s="278"/>
      <c r="W2195" s="278"/>
    </row>
    <row r="2196" spans="1:23" s="269" customFormat="1" ht="20.25">
      <c r="A2196" s="267"/>
      <c r="B2196" s="275" t="s">
        <v>2439</v>
      </c>
      <c r="C2196" s="275" t="s">
        <v>3831</v>
      </c>
      <c r="D2196" s="168" t="s">
        <v>8049</v>
      </c>
      <c r="E2196" s="168" t="s">
        <v>2294</v>
      </c>
      <c r="F2196" s="168" t="s">
        <v>4623</v>
      </c>
      <c r="G2196" s="168" t="s">
        <v>4623</v>
      </c>
      <c r="H2196" s="292" t="s">
        <v>4623</v>
      </c>
      <c r="I2196" s="293" t="s">
        <v>4623</v>
      </c>
      <c r="J2196" s="293" t="s">
        <v>4623</v>
      </c>
      <c r="K2196" s="290" t="s">
        <v>4623</v>
      </c>
      <c r="L2196" s="290" t="s">
        <v>4623</v>
      </c>
      <c r="M2196" s="290" t="s">
        <v>4623</v>
      </c>
      <c r="N2196" s="290" t="s">
        <v>4623</v>
      </c>
      <c r="O2196" s="290" t="s">
        <v>4623</v>
      </c>
      <c r="P2196" s="290" t="s">
        <v>999</v>
      </c>
      <c r="Q2196" s="291" t="s">
        <v>4623</v>
      </c>
      <c r="R2196" s="276"/>
      <c r="S2196" s="277">
        <f>IF(OR(C2196="",C2196=T$4),NA(),MATCH($B2196&amp;$C2196,'Smelter Reference List'!$J:$J,0))</f>
        <v>502</v>
      </c>
      <c r="T2196" s="278"/>
      <c r="U2196" s="278"/>
      <c r="V2196" s="278"/>
      <c r="W2196" s="278"/>
    </row>
    <row r="2197" spans="1:23" s="269" customFormat="1" ht="20.25">
      <c r="A2197" s="267"/>
      <c r="B2197" s="275" t="s">
        <v>2439</v>
      </c>
      <c r="C2197" s="275" t="s">
        <v>3831</v>
      </c>
      <c r="D2197" s="168" t="s">
        <v>8050</v>
      </c>
      <c r="E2197" s="168" t="s">
        <v>2294</v>
      </c>
      <c r="F2197" s="168" t="s">
        <v>4623</v>
      </c>
      <c r="G2197" s="168" t="s">
        <v>4623</v>
      </c>
      <c r="H2197" s="292" t="s">
        <v>8051</v>
      </c>
      <c r="I2197" s="293" t="s">
        <v>4623</v>
      </c>
      <c r="J2197" s="293" t="s">
        <v>4623</v>
      </c>
      <c r="K2197" s="290" t="s">
        <v>4623</v>
      </c>
      <c r="L2197" s="290" t="s">
        <v>4623</v>
      </c>
      <c r="M2197" s="290" t="s">
        <v>4623</v>
      </c>
      <c r="N2197" s="290" t="s">
        <v>4623</v>
      </c>
      <c r="O2197" s="290" t="s">
        <v>4623</v>
      </c>
      <c r="P2197" s="290" t="s">
        <v>999</v>
      </c>
      <c r="Q2197" s="291" t="s">
        <v>4623</v>
      </c>
      <c r="R2197" s="276"/>
      <c r="S2197" s="277">
        <f>IF(OR(C2197="",C2197=T$4),NA(),MATCH($B2197&amp;$C2197,'Smelter Reference List'!$J:$J,0))</f>
        <v>502</v>
      </c>
      <c r="T2197" s="278"/>
      <c r="U2197" s="278"/>
      <c r="V2197" s="278"/>
      <c r="W2197" s="278"/>
    </row>
    <row r="2198" spans="1:23" s="269" customFormat="1" ht="20.25">
      <c r="A2198" s="267"/>
      <c r="B2198" s="275" t="s">
        <v>2439</v>
      </c>
      <c r="C2198" s="275" t="s">
        <v>3831</v>
      </c>
      <c r="D2198" s="168" t="s">
        <v>6916</v>
      </c>
      <c r="E2198" s="168" t="s">
        <v>2294</v>
      </c>
      <c r="F2198" s="168" t="s">
        <v>4623</v>
      </c>
      <c r="G2198" s="168" t="s">
        <v>4623</v>
      </c>
      <c r="H2198" s="292" t="s">
        <v>8052</v>
      </c>
      <c r="I2198" s="293" t="s">
        <v>3795</v>
      </c>
      <c r="J2198" s="293" t="s">
        <v>8053</v>
      </c>
      <c r="K2198" s="290" t="s">
        <v>8054</v>
      </c>
      <c r="L2198" s="290" t="s">
        <v>4623</v>
      </c>
      <c r="M2198" s="290" t="s">
        <v>8055</v>
      </c>
      <c r="N2198" s="290" t="s">
        <v>4667</v>
      </c>
      <c r="O2198" s="290" t="s">
        <v>4623</v>
      </c>
      <c r="P2198" s="290" t="s">
        <v>999</v>
      </c>
      <c r="Q2198" s="291" t="s">
        <v>4623</v>
      </c>
      <c r="R2198" s="276"/>
      <c r="S2198" s="277">
        <f>IF(OR(C2198="",C2198=T$4),NA(),MATCH($B2198&amp;$C2198,'Smelter Reference List'!$J:$J,0))</f>
        <v>502</v>
      </c>
      <c r="T2198" s="278"/>
      <c r="U2198" s="278"/>
      <c r="V2198" s="278"/>
      <c r="W2198" s="278"/>
    </row>
    <row r="2199" spans="1:23" s="269" customFormat="1" ht="20.25">
      <c r="A2199" s="267"/>
      <c r="B2199" s="275" t="s">
        <v>2439</v>
      </c>
      <c r="C2199" s="275" t="s">
        <v>3831</v>
      </c>
      <c r="D2199" s="168" t="s">
        <v>8056</v>
      </c>
      <c r="E2199" s="168" t="s">
        <v>2294</v>
      </c>
      <c r="F2199" s="168" t="s">
        <v>4623</v>
      </c>
      <c r="G2199" s="168" t="s">
        <v>4623</v>
      </c>
      <c r="H2199" s="292" t="s">
        <v>8057</v>
      </c>
      <c r="I2199" s="293" t="s">
        <v>8058</v>
      </c>
      <c r="J2199" s="293" t="s">
        <v>3542</v>
      </c>
      <c r="K2199" s="290" t="s">
        <v>4623</v>
      </c>
      <c r="L2199" s="290" t="s">
        <v>4623</v>
      </c>
      <c r="M2199" s="290" t="s">
        <v>1005</v>
      </c>
      <c r="N2199" s="290" t="s">
        <v>8059</v>
      </c>
      <c r="O2199" s="290" t="s">
        <v>4667</v>
      </c>
      <c r="P2199" s="290" t="s">
        <v>999</v>
      </c>
      <c r="Q2199" s="291" t="s">
        <v>4623</v>
      </c>
      <c r="R2199" s="276"/>
      <c r="S2199" s="277">
        <f>IF(OR(C2199="",C2199=T$4),NA(),MATCH($B2199&amp;$C2199,'Smelter Reference List'!$J:$J,0))</f>
        <v>502</v>
      </c>
      <c r="T2199" s="278"/>
      <c r="U2199" s="278"/>
      <c r="V2199" s="278"/>
      <c r="W2199" s="278"/>
    </row>
    <row r="2200" spans="1:23" s="269" customFormat="1" ht="20.25">
      <c r="A2200" s="267"/>
      <c r="B2200" s="275" t="s">
        <v>2439</v>
      </c>
      <c r="C2200" s="275" t="s">
        <v>3831</v>
      </c>
      <c r="D2200" s="168" t="s">
        <v>8060</v>
      </c>
      <c r="E2200" s="168" t="s">
        <v>2294</v>
      </c>
      <c r="F2200" s="168" t="s">
        <v>4623</v>
      </c>
      <c r="G2200" s="168" t="s">
        <v>4623</v>
      </c>
      <c r="H2200" s="292" t="s">
        <v>8061</v>
      </c>
      <c r="I2200" s="293" t="s">
        <v>3795</v>
      </c>
      <c r="J2200" s="293" t="s">
        <v>3542</v>
      </c>
      <c r="K2200" s="290" t="s">
        <v>8062</v>
      </c>
      <c r="L2200" s="290" t="s">
        <v>5326</v>
      </c>
      <c r="M2200" s="290" t="s">
        <v>4623</v>
      </c>
      <c r="N2200" s="290" t="s">
        <v>4623</v>
      </c>
      <c r="O2200" s="290" t="s">
        <v>8063</v>
      </c>
      <c r="P2200" s="290" t="s">
        <v>999</v>
      </c>
      <c r="Q2200" s="291" t="s">
        <v>4623</v>
      </c>
      <c r="R2200" s="276"/>
      <c r="S2200" s="277">
        <f>IF(OR(C2200="",C2200=T$4),NA(),MATCH($B2200&amp;$C2200,'Smelter Reference List'!$J:$J,0))</f>
        <v>502</v>
      </c>
      <c r="T2200" s="278"/>
      <c r="U2200" s="278"/>
      <c r="V2200" s="278"/>
      <c r="W2200" s="278"/>
    </row>
    <row r="2201" spans="1:23" s="269" customFormat="1" ht="20.25">
      <c r="A2201" s="267"/>
      <c r="B2201" s="275" t="s">
        <v>2439</v>
      </c>
      <c r="C2201" s="275" t="s">
        <v>3831</v>
      </c>
      <c r="D2201" s="168" t="s">
        <v>8064</v>
      </c>
      <c r="E2201" s="168" t="s">
        <v>2294</v>
      </c>
      <c r="F2201" s="168" t="s">
        <v>4623</v>
      </c>
      <c r="G2201" s="168" t="s">
        <v>4623</v>
      </c>
      <c r="H2201" s="292" t="s">
        <v>4623</v>
      </c>
      <c r="I2201" s="293" t="s">
        <v>4623</v>
      </c>
      <c r="J2201" s="293" t="s">
        <v>4623</v>
      </c>
      <c r="K2201" s="290" t="s">
        <v>4623</v>
      </c>
      <c r="L2201" s="290" t="s">
        <v>4623</v>
      </c>
      <c r="M2201" s="290" t="s">
        <v>4623</v>
      </c>
      <c r="N2201" s="290" t="s">
        <v>4623</v>
      </c>
      <c r="O2201" s="290" t="s">
        <v>4623</v>
      </c>
      <c r="P2201" s="290" t="s">
        <v>999</v>
      </c>
      <c r="Q2201" s="291" t="s">
        <v>4623</v>
      </c>
      <c r="R2201" s="276"/>
      <c r="S2201" s="277">
        <f>IF(OR(C2201="",C2201=T$4),NA(),MATCH($B2201&amp;$C2201,'Smelter Reference List'!$J:$J,0))</f>
        <v>502</v>
      </c>
      <c r="T2201" s="278"/>
      <c r="U2201" s="278"/>
      <c r="V2201" s="278"/>
      <c r="W2201" s="278"/>
    </row>
    <row r="2202" spans="1:23" s="269" customFormat="1" ht="20.25">
      <c r="A2202" s="267"/>
      <c r="B2202" s="275" t="s">
        <v>2439</v>
      </c>
      <c r="C2202" s="275" t="s">
        <v>3831</v>
      </c>
      <c r="D2202" s="168" t="s">
        <v>8065</v>
      </c>
      <c r="E2202" s="168" t="s">
        <v>2294</v>
      </c>
      <c r="F2202" s="168" t="s">
        <v>4623</v>
      </c>
      <c r="G2202" s="168" t="s">
        <v>4623</v>
      </c>
      <c r="H2202" s="292" t="s">
        <v>4623</v>
      </c>
      <c r="I2202" s="293" t="s">
        <v>4623</v>
      </c>
      <c r="J2202" s="293" t="s">
        <v>4623</v>
      </c>
      <c r="K2202" s="290" t="s">
        <v>4623</v>
      </c>
      <c r="L2202" s="290" t="s">
        <v>4623</v>
      </c>
      <c r="M2202" s="290" t="s">
        <v>4623</v>
      </c>
      <c r="N2202" s="290" t="s">
        <v>4623</v>
      </c>
      <c r="O2202" s="290" t="s">
        <v>4623</v>
      </c>
      <c r="P2202" s="290" t="s">
        <v>999</v>
      </c>
      <c r="Q2202" s="291" t="s">
        <v>4623</v>
      </c>
      <c r="R2202" s="276"/>
      <c r="S2202" s="277">
        <f>IF(OR(C2202="",C2202=T$4),NA(),MATCH($B2202&amp;$C2202,'Smelter Reference List'!$J:$J,0))</f>
        <v>502</v>
      </c>
      <c r="T2202" s="278"/>
      <c r="U2202" s="278"/>
      <c r="V2202" s="278"/>
      <c r="W2202" s="278"/>
    </row>
    <row r="2203" spans="1:23" s="269" customFormat="1" ht="20.25">
      <c r="A2203" s="267"/>
      <c r="B2203" s="275" t="s">
        <v>2439</v>
      </c>
      <c r="C2203" s="275" t="s">
        <v>3831</v>
      </c>
      <c r="D2203" s="168" t="s">
        <v>8066</v>
      </c>
      <c r="E2203" s="168" t="s">
        <v>2294</v>
      </c>
      <c r="F2203" s="168" t="s">
        <v>4623</v>
      </c>
      <c r="G2203" s="168" t="s">
        <v>4623</v>
      </c>
      <c r="H2203" s="292" t="s">
        <v>4623</v>
      </c>
      <c r="I2203" s="293" t="s">
        <v>4623</v>
      </c>
      <c r="J2203" s="293" t="s">
        <v>4623</v>
      </c>
      <c r="K2203" s="290" t="s">
        <v>4623</v>
      </c>
      <c r="L2203" s="290" t="s">
        <v>4623</v>
      </c>
      <c r="M2203" s="290" t="s">
        <v>4623</v>
      </c>
      <c r="N2203" s="290" t="s">
        <v>4623</v>
      </c>
      <c r="O2203" s="290" t="s">
        <v>4623</v>
      </c>
      <c r="P2203" s="290" t="s">
        <v>999</v>
      </c>
      <c r="Q2203" s="291" t="s">
        <v>4623</v>
      </c>
      <c r="R2203" s="276"/>
      <c r="S2203" s="277">
        <f>IF(OR(C2203="",C2203=T$4),NA(),MATCH($B2203&amp;$C2203,'Smelter Reference List'!$J:$J,0))</f>
        <v>502</v>
      </c>
      <c r="T2203" s="278"/>
      <c r="U2203" s="278"/>
      <c r="V2203" s="278"/>
      <c r="W2203" s="278"/>
    </row>
    <row r="2204" spans="1:23" s="269" customFormat="1" ht="20.25">
      <c r="A2204" s="267"/>
      <c r="B2204" s="275" t="s">
        <v>2439</v>
      </c>
      <c r="C2204" s="275" t="s">
        <v>3831</v>
      </c>
      <c r="D2204" s="168" t="s">
        <v>7022</v>
      </c>
      <c r="E2204" s="168" t="s">
        <v>2294</v>
      </c>
      <c r="F2204" s="168" t="s">
        <v>8067</v>
      </c>
      <c r="G2204" s="168" t="s">
        <v>3324</v>
      </c>
      <c r="H2204" s="292" t="s">
        <v>5409</v>
      </c>
      <c r="I2204" s="293" t="s">
        <v>3607</v>
      </c>
      <c r="J2204" s="293" t="s">
        <v>5410</v>
      </c>
      <c r="K2204" s="290" t="s">
        <v>8068</v>
      </c>
      <c r="L2204" s="290" t="s">
        <v>5411</v>
      </c>
      <c r="M2204" s="290" t="s">
        <v>7547</v>
      </c>
      <c r="N2204" s="290" t="s">
        <v>5412</v>
      </c>
      <c r="O2204" s="290" t="s">
        <v>4667</v>
      </c>
      <c r="P2204" s="290" t="s">
        <v>999</v>
      </c>
      <c r="Q2204" s="291" t="s">
        <v>4623</v>
      </c>
      <c r="R2204" s="276"/>
      <c r="S2204" s="277">
        <f>IF(OR(C2204="",C2204=T$4),NA(),MATCH($B2204&amp;$C2204,'Smelter Reference List'!$J:$J,0))</f>
        <v>502</v>
      </c>
      <c r="T2204" s="278"/>
      <c r="U2204" s="278"/>
      <c r="V2204" s="278"/>
      <c r="W2204" s="278"/>
    </row>
    <row r="2205" spans="1:23" s="269" customFormat="1" ht="20.25">
      <c r="A2205" s="267"/>
      <c r="B2205" s="275" t="s">
        <v>2439</v>
      </c>
      <c r="C2205" s="275" t="s">
        <v>3831</v>
      </c>
      <c r="D2205" s="168" t="s">
        <v>8069</v>
      </c>
      <c r="E2205" s="168" t="s">
        <v>2324</v>
      </c>
      <c r="F2205" s="168" t="s">
        <v>4623</v>
      </c>
      <c r="G2205" s="168" t="s">
        <v>4623</v>
      </c>
      <c r="H2205" s="292" t="s">
        <v>8070</v>
      </c>
      <c r="I2205" s="293" t="s">
        <v>8071</v>
      </c>
      <c r="J2205" s="293" t="s">
        <v>4623</v>
      </c>
      <c r="K2205" s="290" t="s">
        <v>4623</v>
      </c>
      <c r="L2205" s="290" t="s">
        <v>4623</v>
      </c>
      <c r="M2205" s="290" t="s">
        <v>4623</v>
      </c>
      <c r="N2205" s="290" t="s">
        <v>4623</v>
      </c>
      <c r="O2205" s="290" t="s">
        <v>4623</v>
      </c>
      <c r="P2205" s="290" t="s">
        <v>999</v>
      </c>
      <c r="Q2205" s="291" t="s">
        <v>4623</v>
      </c>
      <c r="R2205" s="276"/>
      <c r="S2205" s="277">
        <f>IF(OR(C2205="",C2205=T$4),NA(),MATCH($B2205&amp;$C2205,'Smelter Reference List'!$J:$J,0))</f>
        <v>502</v>
      </c>
      <c r="T2205" s="278"/>
      <c r="U2205" s="278"/>
      <c r="V2205" s="278"/>
      <c r="W2205" s="278"/>
    </row>
    <row r="2206" spans="1:23" s="269" customFormat="1" ht="20.25">
      <c r="A2206" s="267"/>
      <c r="B2206" s="275" t="s">
        <v>2439</v>
      </c>
      <c r="C2206" s="275" t="s">
        <v>3831</v>
      </c>
      <c r="D2206" s="168" t="s">
        <v>8072</v>
      </c>
      <c r="E2206" s="168" t="s">
        <v>2324</v>
      </c>
      <c r="F2206" s="168" t="s">
        <v>4623</v>
      </c>
      <c r="G2206" s="168" t="s">
        <v>4623</v>
      </c>
      <c r="H2206" s="292" t="s">
        <v>4623</v>
      </c>
      <c r="I2206" s="293" t="s">
        <v>4623</v>
      </c>
      <c r="J2206" s="293" t="s">
        <v>4623</v>
      </c>
      <c r="K2206" s="290" t="s">
        <v>4623</v>
      </c>
      <c r="L2206" s="290" t="s">
        <v>4623</v>
      </c>
      <c r="M2206" s="290" t="s">
        <v>4623</v>
      </c>
      <c r="N2206" s="290" t="s">
        <v>4623</v>
      </c>
      <c r="O2206" s="290" t="s">
        <v>4623</v>
      </c>
      <c r="P2206" s="290" t="s">
        <v>999</v>
      </c>
      <c r="Q2206" s="291" t="s">
        <v>4623</v>
      </c>
      <c r="R2206" s="276"/>
      <c r="S2206" s="277">
        <f>IF(OR(C2206="",C2206=T$4),NA(),MATCH($B2206&amp;$C2206,'Smelter Reference List'!$J:$J,0))</f>
        <v>502</v>
      </c>
      <c r="T2206" s="278"/>
      <c r="U2206" s="278"/>
      <c r="V2206" s="278"/>
      <c r="W2206" s="278"/>
    </row>
    <row r="2207" spans="1:23" s="269" customFormat="1" ht="20.25">
      <c r="A2207" s="267"/>
      <c r="B2207" s="275" t="s">
        <v>2439</v>
      </c>
      <c r="C2207" s="275" t="s">
        <v>3831</v>
      </c>
      <c r="D2207" s="168" t="s">
        <v>8073</v>
      </c>
      <c r="E2207" s="168" t="s">
        <v>2324</v>
      </c>
      <c r="F2207" s="168" t="s">
        <v>4623</v>
      </c>
      <c r="G2207" s="168" t="s">
        <v>4623</v>
      </c>
      <c r="H2207" s="292" t="s">
        <v>4623</v>
      </c>
      <c r="I2207" s="293" t="s">
        <v>4623</v>
      </c>
      <c r="J2207" s="293" t="s">
        <v>4623</v>
      </c>
      <c r="K2207" s="290" t="s">
        <v>4623</v>
      </c>
      <c r="L2207" s="290" t="s">
        <v>4623</v>
      </c>
      <c r="M2207" s="290" t="s">
        <v>4623</v>
      </c>
      <c r="N2207" s="290" t="s">
        <v>4623</v>
      </c>
      <c r="O2207" s="290" t="s">
        <v>4623</v>
      </c>
      <c r="P2207" s="290" t="s">
        <v>999</v>
      </c>
      <c r="Q2207" s="291" t="s">
        <v>4623</v>
      </c>
      <c r="R2207" s="276"/>
      <c r="S2207" s="277">
        <f>IF(OR(C2207="",C2207=T$4),NA(),MATCH($B2207&amp;$C2207,'Smelter Reference List'!$J:$J,0))</f>
        <v>502</v>
      </c>
      <c r="T2207" s="278"/>
      <c r="U2207" s="278"/>
      <c r="V2207" s="278"/>
      <c r="W2207" s="278"/>
    </row>
    <row r="2208" spans="1:23" s="269" customFormat="1" ht="20.25">
      <c r="A2208" s="267"/>
      <c r="B2208" s="275" t="s">
        <v>2439</v>
      </c>
      <c r="C2208" s="275" t="s">
        <v>3831</v>
      </c>
      <c r="D2208" s="168" t="s">
        <v>8074</v>
      </c>
      <c r="E2208" s="168" t="s">
        <v>2324</v>
      </c>
      <c r="F2208" s="168" t="s">
        <v>4623</v>
      </c>
      <c r="G2208" s="168" t="s">
        <v>4623</v>
      </c>
      <c r="H2208" s="292" t="s">
        <v>4623</v>
      </c>
      <c r="I2208" s="293" t="s">
        <v>4623</v>
      </c>
      <c r="J2208" s="293" t="s">
        <v>4623</v>
      </c>
      <c r="K2208" s="290" t="s">
        <v>4623</v>
      </c>
      <c r="L2208" s="290" t="s">
        <v>4623</v>
      </c>
      <c r="M2208" s="290" t="s">
        <v>4623</v>
      </c>
      <c r="N2208" s="290" t="s">
        <v>4623</v>
      </c>
      <c r="O2208" s="290" t="s">
        <v>4623</v>
      </c>
      <c r="P2208" s="290" t="s">
        <v>999</v>
      </c>
      <c r="Q2208" s="291" t="s">
        <v>4623</v>
      </c>
      <c r="R2208" s="276"/>
      <c r="S2208" s="277">
        <f>IF(OR(C2208="",C2208=T$4),NA(),MATCH($B2208&amp;$C2208,'Smelter Reference List'!$J:$J,0))</f>
        <v>502</v>
      </c>
      <c r="T2208" s="278"/>
      <c r="U2208" s="278"/>
      <c r="V2208" s="278"/>
      <c r="W2208" s="278"/>
    </row>
    <row r="2209" spans="1:23" s="269" customFormat="1" ht="20.25">
      <c r="A2209" s="267"/>
      <c r="B2209" s="275" t="s">
        <v>2439</v>
      </c>
      <c r="C2209" s="275" t="s">
        <v>3831</v>
      </c>
      <c r="D2209" s="168" t="s">
        <v>8075</v>
      </c>
      <c r="E2209" s="168" t="s">
        <v>2308</v>
      </c>
      <c r="F2209" s="168" t="s">
        <v>4623</v>
      </c>
      <c r="G2209" s="168" t="s">
        <v>4623</v>
      </c>
      <c r="H2209" s="292" t="s">
        <v>4623</v>
      </c>
      <c r="I2209" s="293" t="s">
        <v>4623</v>
      </c>
      <c r="J2209" s="293" t="s">
        <v>4623</v>
      </c>
      <c r="K2209" s="290" t="s">
        <v>4623</v>
      </c>
      <c r="L2209" s="290" t="s">
        <v>4623</v>
      </c>
      <c r="M2209" s="290" t="s">
        <v>4623</v>
      </c>
      <c r="N2209" s="290" t="s">
        <v>4623</v>
      </c>
      <c r="O2209" s="290" t="s">
        <v>4623</v>
      </c>
      <c r="P2209" s="290" t="s">
        <v>999</v>
      </c>
      <c r="Q2209" s="291" t="s">
        <v>4623</v>
      </c>
      <c r="R2209" s="276"/>
      <c r="S2209" s="277">
        <f>IF(OR(C2209="",C2209=T$4),NA(),MATCH($B2209&amp;$C2209,'Smelter Reference List'!$J:$J,0))</f>
        <v>502</v>
      </c>
      <c r="T2209" s="278"/>
      <c r="U2209" s="278"/>
      <c r="V2209" s="278"/>
      <c r="W2209" s="278"/>
    </row>
    <row r="2210" spans="1:23" s="269" customFormat="1" ht="20.25">
      <c r="A2210" s="267"/>
      <c r="B2210" s="275" t="s">
        <v>2439</v>
      </c>
      <c r="C2210" s="275" t="s">
        <v>3831</v>
      </c>
      <c r="D2210" s="168" t="s">
        <v>8076</v>
      </c>
      <c r="E2210" s="168" t="s">
        <v>2308</v>
      </c>
      <c r="F2210" s="168" t="s">
        <v>4623</v>
      </c>
      <c r="G2210" s="168" t="s">
        <v>4623</v>
      </c>
      <c r="H2210" s="292" t="s">
        <v>8077</v>
      </c>
      <c r="I2210" s="293" t="s">
        <v>4657</v>
      </c>
      <c r="J2210" s="293" t="s">
        <v>8078</v>
      </c>
      <c r="K2210" s="290" t="s">
        <v>8079</v>
      </c>
      <c r="L2210" s="290" t="s">
        <v>4623</v>
      </c>
      <c r="M2210" s="290" t="s">
        <v>4623</v>
      </c>
      <c r="N2210" s="290" t="s">
        <v>4623</v>
      </c>
      <c r="O2210" s="290" t="s">
        <v>4623</v>
      </c>
      <c r="P2210" s="290" t="s">
        <v>999</v>
      </c>
      <c r="Q2210" s="291" t="s">
        <v>4623</v>
      </c>
      <c r="R2210" s="276"/>
      <c r="S2210" s="277">
        <f>IF(OR(C2210="",C2210=T$4),NA(),MATCH($B2210&amp;$C2210,'Smelter Reference List'!$J:$J,0))</f>
        <v>502</v>
      </c>
      <c r="T2210" s="278"/>
      <c r="U2210" s="278"/>
      <c r="V2210" s="278"/>
      <c r="W2210" s="278"/>
    </row>
    <row r="2211" spans="1:23" s="269" customFormat="1" ht="20.25">
      <c r="A2211" s="267"/>
      <c r="B2211" s="275" t="s">
        <v>2439</v>
      </c>
      <c r="C2211" s="275" t="s">
        <v>3831</v>
      </c>
      <c r="D2211" s="168" t="s">
        <v>8080</v>
      </c>
      <c r="E2211" s="168" t="s">
        <v>2308</v>
      </c>
      <c r="F2211" s="168" t="s">
        <v>4623</v>
      </c>
      <c r="G2211" s="168" t="s">
        <v>4623</v>
      </c>
      <c r="H2211" s="292" t="s">
        <v>8081</v>
      </c>
      <c r="I2211" s="293" t="s">
        <v>8082</v>
      </c>
      <c r="J2211" s="293" t="s">
        <v>4623</v>
      </c>
      <c r="K2211" s="290" t="s">
        <v>4623</v>
      </c>
      <c r="L2211" s="290" t="s">
        <v>4623</v>
      </c>
      <c r="M2211" s="290" t="s">
        <v>4623</v>
      </c>
      <c r="N2211" s="290" t="s">
        <v>4623</v>
      </c>
      <c r="O2211" s="290" t="s">
        <v>4623</v>
      </c>
      <c r="P2211" s="290" t="s">
        <v>999</v>
      </c>
      <c r="Q2211" s="291" t="s">
        <v>4623</v>
      </c>
      <c r="R2211" s="276"/>
      <c r="S2211" s="277">
        <f>IF(OR(C2211="",C2211=T$4),NA(),MATCH($B2211&amp;$C2211,'Smelter Reference List'!$J:$J,0))</f>
        <v>502</v>
      </c>
      <c r="T2211" s="278"/>
      <c r="U2211" s="278"/>
      <c r="V2211" s="278"/>
      <c r="W2211" s="278"/>
    </row>
    <row r="2212" spans="1:23" s="269" customFormat="1" ht="20.25">
      <c r="A2212" s="267"/>
      <c r="B2212" s="275" t="s">
        <v>2439</v>
      </c>
      <c r="C2212" s="275" t="s">
        <v>3831</v>
      </c>
      <c r="D2212" s="168" t="s">
        <v>6201</v>
      </c>
      <c r="E2212" s="168" t="s">
        <v>2308</v>
      </c>
      <c r="F2212" s="168" t="s">
        <v>8083</v>
      </c>
      <c r="G2212" s="168" t="s">
        <v>3324</v>
      </c>
      <c r="H2212" s="292" t="s">
        <v>8084</v>
      </c>
      <c r="I2212" s="293" t="s">
        <v>3632</v>
      </c>
      <c r="J2212" s="293" t="s">
        <v>4657</v>
      </c>
      <c r="K2212" s="290" t="s">
        <v>8085</v>
      </c>
      <c r="L2212" s="290" t="s">
        <v>8086</v>
      </c>
      <c r="M2212" s="290" t="s">
        <v>8087</v>
      </c>
      <c r="N2212" s="290" t="s">
        <v>4671</v>
      </c>
      <c r="O2212" s="290" t="s">
        <v>4623</v>
      </c>
      <c r="P2212" s="290" t="s">
        <v>999</v>
      </c>
      <c r="Q2212" s="291" t="s">
        <v>4623</v>
      </c>
      <c r="R2212" s="276"/>
      <c r="S2212" s="277">
        <f>IF(OR(C2212="",C2212=T$4),NA(),MATCH($B2212&amp;$C2212,'Smelter Reference List'!$J:$J,0))</f>
        <v>502</v>
      </c>
      <c r="T2212" s="278"/>
      <c r="U2212" s="278"/>
      <c r="V2212" s="278"/>
      <c r="W2212" s="278"/>
    </row>
    <row r="2213" spans="1:23" s="269" customFormat="1" ht="20.25">
      <c r="A2213" s="267"/>
      <c r="B2213" s="275" t="s">
        <v>2439</v>
      </c>
      <c r="C2213" s="275" t="s">
        <v>3831</v>
      </c>
      <c r="D2213" s="168" t="s">
        <v>8088</v>
      </c>
      <c r="E2213" s="168" t="s">
        <v>2308</v>
      </c>
      <c r="F2213" s="168" t="s">
        <v>4623</v>
      </c>
      <c r="G2213" s="168" t="s">
        <v>4623</v>
      </c>
      <c r="H2213" s="292" t="s">
        <v>8089</v>
      </c>
      <c r="I2213" s="293" t="s">
        <v>8090</v>
      </c>
      <c r="J2213" s="293" t="s">
        <v>4623</v>
      </c>
      <c r="K2213" s="290" t="s">
        <v>4623</v>
      </c>
      <c r="L2213" s="290" t="s">
        <v>4623</v>
      </c>
      <c r="M2213" s="290" t="s">
        <v>4623</v>
      </c>
      <c r="N2213" s="290" t="s">
        <v>4623</v>
      </c>
      <c r="O2213" s="290" t="s">
        <v>4623</v>
      </c>
      <c r="P2213" s="290" t="s">
        <v>999</v>
      </c>
      <c r="Q2213" s="291" t="s">
        <v>4623</v>
      </c>
      <c r="R2213" s="276"/>
      <c r="S2213" s="277">
        <f>IF(OR(C2213="",C2213=T$4),NA(),MATCH($B2213&amp;$C2213,'Smelter Reference List'!$J:$J,0))</f>
        <v>502</v>
      </c>
      <c r="T2213" s="278"/>
      <c r="U2213" s="278"/>
      <c r="V2213" s="278"/>
      <c r="W2213" s="278"/>
    </row>
    <row r="2214" spans="1:23" s="269" customFormat="1" ht="20.25">
      <c r="A2214" s="267"/>
      <c r="B2214" s="275" t="s">
        <v>2439</v>
      </c>
      <c r="C2214" s="275" t="s">
        <v>3831</v>
      </c>
      <c r="D2214" s="168" t="s">
        <v>6161</v>
      </c>
      <c r="E2214" s="168" t="s">
        <v>2308</v>
      </c>
      <c r="F2214" s="168" t="s">
        <v>4623</v>
      </c>
      <c r="G2214" s="168" t="s">
        <v>4623</v>
      </c>
      <c r="H2214" s="292" t="s">
        <v>8091</v>
      </c>
      <c r="I2214" s="293" t="s">
        <v>3632</v>
      </c>
      <c r="J2214" s="293" t="s">
        <v>4657</v>
      </c>
      <c r="K2214" s="290" t="s">
        <v>8085</v>
      </c>
      <c r="L2214" s="290" t="s">
        <v>8086</v>
      </c>
      <c r="M2214" s="290" t="s">
        <v>4623</v>
      </c>
      <c r="N2214" s="290" t="s">
        <v>4623</v>
      </c>
      <c r="O2214" s="290" t="s">
        <v>4623</v>
      </c>
      <c r="P2214" s="290" t="s">
        <v>999</v>
      </c>
      <c r="Q2214" s="291" t="s">
        <v>4623</v>
      </c>
      <c r="R2214" s="276"/>
      <c r="S2214" s="277">
        <f>IF(OR(C2214="",C2214=T$4),NA(),MATCH($B2214&amp;$C2214,'Smelter Reference List'!$J:$J,0))</f>
        <v>502</v>
      </c>
      <c r="T2214" s="278"/>
      <c r="U2214" s="278"/>
      <c r="V2214" s="278"/>
      <c r="W2214" s="278"/>
    </row>
    <row r="2215" spans="1:23" s="269" customFormat="1" ht="20.25">
      <c r="A2215" s="267"/>
      <c r="B2215" s="275" t="s">
        <v>2439</v>
      </c>
      <c r="C2215" s="275" t="s">
        <v>3831</v>
      </c>
      <c r="D2215" s="168" t="s">
        <v>8092</v>
      </c>
      <c r="E2215" s="168" t="s">
        <v>2308</v>
      </c>
      <c r="F2215" s="168" t="s">
        <v>4623</v>
      </c>
      <c r="G2215" s="168" t="s">
        <v>4623</v>
      </c>
      <c r="H2215" s="292" t="s">
        <v>8093</v>
      </c>
      <c r="I2215" s="293" t="s">
        <v>4657</v>
      </c>
      <c r="J2215" s="293" t="s">
        <v>4623</v>
      </c>
      <c r="K2215" s="290" t="s">
        <v>4623</v>
      </c>
      <c r="L2215" s="290" t="s">
        <v>4623</v>
      </c>
      <c r="M2215" s="290" t="s">
        <v>4623</v>
      </c>
      <c r="N2215" s="290" t="s">
        <v>4623</v>
      </c>
      <c r="O2215" s="290" t="s">
        <v>4623</v>
      </c>
      <c r="P2215" s="290" t="s">
        <v>999</v>
      </c>
      <c r="Q2215" s="291" t="s">
        <v>4623</v>
      </c>
      <c r="R2215" s="276"/>
      <c r="S2215" s="277">
        <f>IF(OR(C2215="",C2215=T$4),NA(),MATCH($B2215&amp;$C2215,'Smelter Reference List'!$J:$J,0))</f>
        <v>502</v>
      </c>
      <c r="T2215" s="278"/>
      <c r="U2215" s="278"/>
      <c r="V2215" s="278"/>
      <c r="W2215" s="278"/>
    </row>
    <row r="2216" spans="1:23" s="269" customFormat="1" ht="20.25">
      <c r="A2216" s="267"/>
      <c r="B2216" s="275" t="s">
        <v>2439</v>
      </c>
      <c r="C2216" s="275" t="s">
        <v>3831</v>
      </c>
      <c r="D2216" s="168" t="s">
        <v>8094</v>
      </c>
      <c r="E2216" s="168" t="s">
        <v>2352</v>
      </c>
      <c r="F2216" s="168" t="s">
        <v>4623</v>
      </c>
      <c r="G2216" s="168" t="s">
        <v>4623</v>
      </c>
      <c r="H2216" s="292" t="s">
        <v>4623</v>
      </c>
      <c r="I2216" s="293" t="s">
        <v>4623</v>
      </c>
      <c r="J2216" s="293" t="s">
        <v>4623</v>
      </c>
      <c r="K2216" s="290" t="s">
        <v>4623</v>
      </c>
      <c r="L2216" s="290" t="s">
        <v>4623</v>
      </c>
      <c r="M2216" s="290" t="s">
        <v>4623</v>
      </c>
      <c r="N2216" s="290" t="s">
        <v>4623</v>
      </c>
      <c r="O2216" s="290" t="s">
        <v>4623</v>
      </c>
      <c r="P2216" s="290" t="s">
        <v>999</v>
      </c>
      <c r="Q2216" s="291" t="s">
        <v>4623</v>
      </c>
      <c r="R2216" s="276"/>
      <c r="S2216" s="277">
        <f>IF(OR(C2216="",C2216=T$4),NA(),MATCH($B2216&amp;$C2216,'Smelter Reference List'!$J:$J,0))</f>
        <v>502</v>
      </c>
      <c r="T2216" s="278"/>
      <c r="U2216" s="278"/>
      <c r="V2216" s="278"/>
      <c r="W2216" s="278"/>
    </row>
    <row r="2217" spans="1:23" s="269" customFormat="1" ht="20.25">
      <c r="A2217" s="267"/>
      <c r="B2217" s="275" t="s">
        <v>2439</v>
      </c>
      <c r="C2217" s="275" t="s">
        <v>3831</v>
      </c>
      <c r="D2217" s="168" t="s">
        <v>8095</v>
      </c>
      <c r="E2217" s="168" t="s">
        <v>2352</v>
      </c>
      <c r="F2217" s="168" t="s">
        <v>4623</v>
      </c>
      <c r="G2217" s="168" t="s">
        <v>4623</v>
      </c>
      <c r="H2217" s="292" t="s">
        <v>4623</v>
      </c>
      <c r="I2217" s="293" t="s">
        <v>4623</v>
      </c>
      <c r="J2217" s="293" t="s">
        <v>4623</v>
      </c>
      <c r="K2217" s="290" t="s">
        <v>4623</v>
      </c>
      <c r="L2217" s="290" t="s">
        <v>4623</v>
      </c>
      <c r="M2217" s="290" t="s">
        <v>4623</v>
      </c>
      <c r="N2217" s="290" t="s">
        <v>4623</v>
      </c>
      <c r="O2217" s="290" t="s">
        <v>4623</v>
      </c>
      <c r="P2217" s="290" t="s">
        <v>999</v>
      </c>
      <c r="Q2217" s="291" t="s">
        <v>4623</v>
      </c>
      <c r="R2217" s="276"/>
      <c r="S2217" s="277">
        <f>IF(OR(C2217="",C2217=T$4),NA(),MATCH($B2217&amp;$C2217,'Smelter Reference List'!$J:$J,0))</f>
        <v>502</v>
      </c>
      <c r="T2217" s="278"/>
      <c r="U2217" s="278"/>
      <c r="V2217" s="278"/>
      <c r="W2217" s="278"/>
    </row>
    <row r="2218" spans="1:23" s="269" customFormat="1" ht="20.25">
      <c r="A2218" s="267"/>
      <c r="B2218" s="275" t="s">
        <v>2439</v>
      </c>
      <c r="C2218" s="275" t="s">
        <v>3831</v>
      </c>
      <c r="D2218" s="168" t="s">
        <v>8096</v>
      </c>
      <c r="E2218" s="168" t="s">
        <v>2351</v>
      </c>
      <c r="F2218" s="168" t="s">
        <v>4623</v>
      </c>
      <c r="G2218" s="168" t="s">
        <v>4623</v>
      </c>
      <c r="H2218" s="292" t="s">
        <v>4623</v>
      </c>
      <c r="I2218" s="293" t="s">
        <v>4623</v>
      </c>
      <c r="J2218" s="293" t="s">
        <v>4623</v>
      </c>
      <c r="K2218" s="290" t="s">
        <v>4623</v>
      </c>
      <c r="L2218" s="290" t="s">
        <v>4623</v>
      </c>
      <c r="M2218" s="290" t="s">
        <v>4623</v>
      </c>
      <c r="N2218" s="290" t="s">
        <v>4623</v>
      </c>
      <c r="O2218" s="290" t="s">
        <v>4623</v>
      </c>
      <c r="P2218" s="290" t="s">
        <v>999</v>
      </c>
      <c r="Q2218" s="291" t="s">
        <v>4623</v>
      </c>
      <c r="R2218" s="276"/>
      <c r="S2218" s="277">
        <f>IF(OR(C2218="",C2218=T$4),NA(),MATCH($B2218&amp;$C2218,'Smelter Reference List'!$J:$J,0))</f>
        <v>502</v>
      </c>
      <c r="T2218" s="278"/>
      <c r="U2218" s="278"/>
      <c r="V2218" s="278"/>
      <c r="W2218" s="278"/>
    </row>
    <row r="2219" spans="1:23" s="269" customFormat="1" ht="20.25">
      <c r="A2219" s="267"/>
      <c r="B2219" s="275" t="s">
        <v>2439</v>
      </c>
      <c r="C2219" s="275" t="s">
        <v>3831</v>
      </c>
      <c r="D2219" s="168" t="s">
        <v>8097</v>
      </c>
      <c r="E2219" s="168" t="s">
        <v>2359</v>
      </c>
      <c r="F2219" s="168" t="s">
        <v>4623</v>
      </c>
      <c r="G2219" s="168" t="s">
        <v>4623</v>
      </c>
      <c r="H2219" s="292" t="s">
        <v>8098</v>
      </c>
      <c r="I2219" s="293" t="s">
        <v>8099</v>
      </c>
      <c r="J2219" s="293" t="s">
        <v>4663</v>
      </c>
      <c r="K2219" s="290" t="s">
        <v>8100</v>
      </c>
      <c r="L2219" s="290" t="s">
        <v>8101</v>
      </c>
      <c r="M2219" s="290" t="s">
        <v>4623</v>
      </c>
      <c r="N2219" s="290" t="s">
        <v>6193</v>
      </c>
      <c r="O2219" s="290" t="s">
        <v>4623</v>
      </c>
      <c r="P2219" s="290" t="s">
        <v>998</v>
      </c>
      <c r="Q2219" s="291" t="s">
        <v>4623</v>
      </c>
      <c r="R2219" s="276"/>
      <c r="S2219" s="277">
        <f>IF(OR(C2219="",C2219=T$4),NA(),MATCH($B2219&amp;$C2219,'Smelter Reference List'!$J:$J,0))</f>
        <v>502</v>
      </c>
      <c r="T2219" s="278"/>
      <c r="U2219" s="278"/>
      <c r="V2219" s="278"/>
      <c r="W2219" s="278"/>
    </row>
    <row r="2220" spans="1:23" s="269" customFormat="1" ht="20.25">
      <c r="A2220" s="267"/>
      <c r="B2220" s="275" t="s">
        <v>2439</v>
      </c>
      <c r="C2220" s="275" t="s">
        <v>3831</v>
      </c>
      <c r="D2220" s="168" t="s">
        <v>8102</v>
      </c>
      <c r="E2220" s="168" t="s">
        <v>2362</v>
      </c>
      <c r="F2220" s="168" t="s">
        <v>4623</v>
      </c>
      <c r="G2220" s="168" t="s">
        <v>4623</v>
      </c>
      <c r="H2220" s="292" t="s">
        <v>4623</v>
      </c>
      <c r="I2220" s="293" t="s">
        <v>4623</v>
      </c>
      <c r="J2220" s="293" t="s">
        <v>4623</v>
      </c>
      <c r="K2220" s="290" t="s">
        <v>4623</v>
      </c>
      <c r="L2220" s="290" t="s">
        <v>4623</v>
      </c>
      <c r="M2220" s="290" t="s">
        <v>4623</v>
      </c>
      <c r="N2220" s="290" t="s">
        <v>4623</v>
      </c>
      <c r="O2220" s="290" t="s">
        <v>4623</v>
      </c>
      <c r="P2220" s="290" t="s">
        <v>999</v>
      </c>
      <c r="Q2220" s="291" t="s">
        <v>4623</v>
      </c>
      <c r="R2220" s="276"/>
      <c r="S2220" s="277">
        <f>IF(OR(C2220="",C2220=T$4),NA(),MATCH($B2220&amp;$C2220,'Smelter Reference List'!$J:$J,0))</f>
        <v>502</v>
      </c>
      <c r="T2220" s="278"/>
      <c r="U2220" s="278"/>
      <c r="V2220" s="278"/>
      <c r="W2220" s="278"/>
    </row>
    <row r="2221" spans="1:23" s="269" customFormat="1" ht="20.25">
      <c r="A2221" s="267"/>
      <c r="B2221" s="275" t="s">
        <v>2439</v>
      </c>
      <c r="C2221" s="275" t="s">
        <v>3831</v>
      </c>
      <c r="D2221" s="168" t="s">
        <v>8103</v>
      </c>
      <c r="E2221" s="168" t="s">
        <v>2362</v>
      </c>
      <c r="F2221" s="168" t="s">
        <v>4623</v>
      </c>
      <c r="G2221" s="168" t="s">
        <v>4623</v>
      </c>
      <c r="H2221" s="292" t="s">
        <v>8104</v>
      </c>
      <c r="I2221" s="293" t="s">
        <v>4384</v>
      </c>
      <c r="J2221" s="293" t="s">
        <v>4384</v>
      </c>
      <c r="K2221" s="290" t="s">
        <v>4623</v>
      </c>
      <c r="L2221" s="290" t="s">
        <v>4623</v>
      </c>
      <c r="M2221" s="290" t="s">
        <v>4623</v>
      </c>
      <c r="N2221" s="290" t="s">
        <v>4623</v>
      </c>
      <c r="O2221" s="290" t="s">
        <v>8105</v>
      </c>
      <c r="P2221" s="290" t="s">
        <v>999</v>
      </c>
      <c r="Q2221" s="291" t="s">
        <v>4623</v>
      </c>
      <c r="R2221" s="276"/>
      <c r="S2221" s="277">
        <f>IF(OR(C2221="",C2221=T$4),NA(),MATCH($B2221&amp;$C2221,'Smelter Reference List'!$J:$J,0))</f>
        <v>502</v>
      </c>
      <c r="T2221" s="278"/>
      <c r="U2221" s="278"/>
      <c r="V2221" s="278"/>
      <c r="W2221" s="278"/>
    </row>
    <row r="2222" spans="1:23" s="269" customFormat="1" ht="20.25">
      <c r="A2222" s="267"/>
      <c r="B2222" s="275" t="s">
        <v>2439</v>
      </c>
      <c r="C2222" s="275" t="s">
        <v>3831</v>
      </c>
      <c r="D2222" s="168" t="s">
        <v>8106</v>
      </c>
      <c r="E2222" s="168" t="s">
        <v>2362</v>
      </c>
      <c r="F2222" s="168" t="s">
        <v>4623</v>
      </c>
      <c r="G2222" s="168" t="s">
        <v>4623</v>
      </c>
      <c r="H2222" s="292" t="s">
        <v>5659</v>
      </c>
      <c r="I2222" s="293" t="s">
        <v>3328</v>
      </c>
      <c r="J2222" s="293" t="s">
        <v>4623</v>
      </c>
      <c r="K2222" s="290" t="s">
        <v>8107</v>
      </c>
      <c r="L2222" s="290" t="s">
        <v>4623</v>
      </c>
      <c r="M2222" s="290" t="s">
        <v>4623</v>
      </c>
      <c r="N2222" s="290" t="s">
        <v>4623</v>
      </c>
      <c r="O2222" s="290" t="s">
        <v>4623</v>
      </c>
      <c r="P2222" s="290" t="s">
        <v>999</v>
      </c>
      <c r="Q2222" s="291" t="s">
        <v>4623</v>
      </c>
      <c r="R2222" s="276"/>
      <c r="S2222" s="277">
        <f>IF(OR(C2222="",C2222=T$4),NA(),MATCH($B2222&amp;$C2222,'Smelter Reference List'!$J:$J,0))</f>
        <v>502</v>
      </c>
      <c r="T2222" s="278"/>
      <c r="U2222" s="278"/>
      <c r="V2222" s="278"/>
      <c r="W2222" s="278"/>
    </row>
    <row r="2223" spans="1:23" s="269" customFormat="1" ht="20.25">
      <c r="A2223" s="267"/>
      <c r="B2223" s="275" t="s">
        <v>2439</v>
      </c>
      <c r="C2223" s="275" t="s">
        <v>3831</v>
      </c>
      <c r="D2223" s="168" t="s">
        <v>5614</v>
      </c>
      <c r="E2223" s="168" t="s">
        <v>2362</v>
      </c>
      <c r="F2223" s="168" t="s">
        <v>4623</v>
      </c>
      <c r="G2223" s="168" t="s">
        <v>4623</v>
      </c>
      <c r="H2223" s="292" t="s">
        <v>5615</v>
      </c>
      <c r="I2223" s="293" t="s">
        <v>5616</v>
      </c>
      <c r="J2223" s="293" t="s">
        <v>3341</v>
      </c>
      <c r="K2223" s="290" t="s">
        <v>4623</v>
      </c>
      <c r="L2223" s="290" t="s">
        <v>4623</v>
      </c>
      <c r="M2223" s="290" t="s">
        <v>4623</v>
      </c>
      <c r="N2223" s="290" t="s">
        <v>4628</v>
      </c>
      <c r="O2223" s="290" t="s">
        <v>4628</v>
      </c>
      <c r="P2223" s="290" t="s">
        <v>999</v>
      </c>
      <c r="Q2223" s="291" t="s">
        <v>4623</v>
      </c>
      <c r="R2223" s="276"/>
      <c r="S2223" s="277">
        <f>IF(OR(C2223="",C2223=T$4),NA(),MATCH($B2223&amp;$C2223,'Smelter Reference List'!$J:$J,0))</f>
        <v>502</v>
      </c>
      <c r="T2223" s="278"/>
      <c r="U2223" s="278"/>
      <c r="V2223" s="278"/>
      <c r="W2223" s="278"/>
    </row>
    <row r="2224" spans="1:23" s="269" customFormat="1" ht="20.25">
      <c r="A2224" s="267"/>
      <c r="B2224" s="275" t="s">
        <v>2439</v>
      </c>
      <c r="C2224" s="275" t="s">
        <v>3831</v>
      </c>
      <c r="D2224" s="168" t="s">
        <v>8108</v>
      </c>
      <c r="E2224" s="168" t="s">
        <v>2362</v>
      </c>
      <c r="F2224" s="168" t="s">
        <v>4623</v>
      </c>
      <c r="G2224" s="168" t="s">
        <v>4623</v>
      </c>
      <c r="H2224" s="292" t="s">
        <v>6863</v>
      </c>
      <c r="I2224" s="293" t="s">
        <v>3328</v>
      </c>
      <c r="J2224" s="293" t="s">
        <v>4623</v>
      </c>
      <c r="K2224" s="290" t="s">
        <v>8109</v>
      </c>
      <c r="L2224" s="290" t="s">
        <v>4623</v>
      </c>
      <c r="M2224" s="290" t="s">
        <v>8110</v>
      </c>
      <c r="N2224" s="290" t="s">
        <v>8111</v>
      </c>
      <c r="O2224" s="290" t="s">
        <v>4623</v>
      </c>
      <c r="P2224" s="290" t="s">
        <v>999</v>
      </c>
      <c r="Q2224" s="291" t="s">
        <v>4623</v>
      </c>
      <c r="R2224" s="276"/>
      <c r="S2224" s="277">
        <f>IF(OR(C2224="",C2224=T$4),NA(),MATCH($B2224&amp;$C2224,'Smelter Reference List'!$J:$J,0))</f>
        <v>502</v>
      </c>
      <c r="T2224" s="278"/>
      <c r="U2224" s="278"/>
      <c r="V2224" s="278"/>
      <c r="W2224" s="278"/>
    </row>
    <row r="2225" spans="1:23" s="269" customFormat="1" ht="20.25">
      <c r="A2225" s="267"/>
      <c r="B2225" s="275" t="s">
        <v>2439</v>
      </c>
      <c r="C2225" s="275" t="s">
        <v>3831</v>
      </c>
      <c r="D2225" s="168" t="s">
        <v>6167</v>
      </c>
      <c r="E2225" s="168" t="s">
        <v>2362</v>
      </c>
      <c r="F2225" s="168" t="s">
        <v>4623</v>
      </c>
      <c r="G2225" s="168" t="s">
        <v>4623</v>
      </c>
      <c r="H2225" s="292" t="s">
        <v>4623</v>
      </c>
      <c r="I2225" s="293" t="s">
        <v>4623</v>
      </c>
      <c r="J2225" s="293" t="s">
        <v>4623</v>
      </c>
      <c r="K2225" s="290" t="s">
        <v>4623</v>
      </c>
      <c r="L2225" s="290" t="s">
        <v>4623</v>
      </c>
      <c r="M2225" s="290" t="s">
        <v>4623</v>
      </c>
      <c r="N2225" s="290" t="s">
        <v>4623</v>
      </c>
      <c r="O2225" s="290" t="s">
        <v>4623</v>
      </c>
      <c r="P2225" s="290" t="s">
        <v>999</v>
      </c>
      <c r="Q2225" s="291" t="s">
        <v>4623</v>
      </c>
      <c r="R2225" s="276"/>
      <c r="S2225" s="277">
        <f>IF(OR(C2225="",C2225=T$4),NA(),MATCH($B2225&amp;$C2225,'Smelter Reference List'!$J:$J,0))</f>
        <v>502</v>
      </c>
      <c r="T2225" s="278"/>
      <c r="U2225" s="278"/>
      <c r="V2225" s="278"/>
      <c r="W2225" s="278"/>
    </row>
    <row r="2226" spans="1:23" s="269" customFormat="1" ht="20.25">
      <c r="A2226" s="267"/>
      <c r="B2226" s="275" t="s">
        <v>2439</v>
      </c>
      <c r="C2226" s="275" t="s">
        <v>3831</v>
      </c>
      <c r="D2226" s="168" t="s">
        <v>8112</v>
      </c>
      <c r="E2226" s="168" t="s">
        <v>2362</v>
      </c>
      <c r="F2226" s="168" t="s">
        <v>4623</v>
      </c>
      <c r="G2226" s="168" t="s">
        <v>4623</v>
      </c>
      <c r="H2226" s="292" t="s">
        <v>4623</v>
      </c>
      <c r="I2226" s="293" t="s">
        <v>4623</v>
      </c>
      <c r="J2226" s="293" t="s">
        <v>4623</v>
      </c>
      <c r="K2226" s="290" t="s">
        <v>4623</v>
      </c>
      <c r="L2226" s="290" t="s">
        <v>4623</v>
      </c>
      <c r="M2226" s="290" t="s">
        <v>4623</v>
      </c>
      <c r="N2226" s="290" t="s">
        <v>4623</v>
      </c>
      <c r="O2226" s="290" t="s">
        <v>4623</v>
      </c>
      <c r="P2226" s="290" t="s">
        <v>999</v>
      </c>
      <c r="Q2226" s="291" t="s">
        <v>4623</v>
      </c>
      <c r="R2226" s="276"/>
      <c r="S2226" s="277">
        <f>IF(OR(C2226="",C2226=T$4),NA(),MATCH($B2226&amp;$C2226,'Smelter Reference List'!$J:$J,0))</f>
        <v>502</v>
      </c>
      <c r="T2226" s="278"/>
      <c r="U2226" s="278"/>
      <c r="V2226" s="278"/>
      <c r="W2226" s="278"/>
    </row>
    <row r="2227" spans="1:23" s="269" customFormat="1" ht="20.25">
      <c r="A2227" s="267"/>
      <c r="B2227" s="275" t="s">
        <v>2439</v>
      </c>
      <c r="C2227" s="275" t="s">
        <v>3831</v>
      </c>
      <c r="D2227" s="168" t="s">
        <v>8009</v>
      </c>
      <c r="E2227" s="168" t="s">
        <v>2362</v>
      </c>
      <c r="F2227" s="168" t="s">
        <v>4623</v>
      </c>
      <c r="G2227" s="168" t="s">
        <v>4623</v>
      </c>
      <c r="H2227" s="292" t="s">
        <v>4623</v>
      </c>
      <c r="I2227" s="293" t="s">
        <v>4623</v>
      </c>
      <c r="J2227" s="293" t="s">
        <v>5033</v>
      </c>
      <c r="K2227" s="290" t="s">
        <v>4623</v>
      </c>
      <c r="L2227" s="290" t="s">
        <v>4623</v>
      </c>
      <c r="M2227" s="290" t="s">
        <v>4623</v>
      </c>
      <c r="N2227" s="290" t="s">
        <v>4623</v>
      </c>
      <c r="O2227" s="290" t="s">
        <v>4623</v>
      </c>
      <c r="P2227" s="290" t="s">
        <v>999</v>
      </c>
      <c r="Q2227" s="291" t="s">
        <v>4623</v>
      </c>
      <c r="R2227" s="276"/>
      <c r="S2227" s="277">
        <f>IF(OR(C2227="",C2227=T$4),NA(),MATCH($B2227&amp;$C2227,'Smelter Reference List'!$J:$J,0))</f>
        <v>502</v>
      </c>
      <c r="T2227" s="278"/>
      <c r="U2227" s="278"/>
      <c r="V2227" s="278"/>
      <c r="W2227" s="278"/>
    </row>
    <row r="2228" spans="1:23" s="269" customFormat="1" ht="20.25">
      <c r="A2228" s="267"/>
      <c r="B2228" s="275" t="s">
        <v>2439</v>
      </c>
      <c r="C2228" s="275" t="s">
        <v>3831</v>
      </c>
      <c r="D2228" s="168" t="s">
        <v>8113</v>
      </c>
      <c r="E2228" s="168" t="s">
        <v>2362</v>
      </c>
      <c r="F2228" s="168" t="s">
        <v>4623</v>
      </c>
      <c r="G2228" s="168" t="s">
        <v>4623</v>
      </c>
      <c r="H2228" s="292" t="s">
        <v>4623</v>
      </c>
      <c r="I2228" s="293" t="s">
        <v>4623</v>
      </c>
      <c r="J2228" s="293" t="s">
        <v>4623</v>
      </c>
      <c r="K2228" s="290" t="s">
        <v>4623</v>
      </c>
      <c r="L2228" s="290" t="s">
        <v>4623</v>
      </c>
      <c r="M2228" s="290" t="s">
        <v>4623</v>
      </c>
      <c r="N2228" s="290" t="s">
        <v>4623</v>
      </c>
      <c r="O2228" s="290" t="s">
        <v>4623</v>
      </c>
      <c r="P2228" s="290" t="s">
        <v>999</v>
      </c>
      <c r="Q2228" s="291" t="s">
        <v>4623</v>
      </c>
      <c r="R2228" s="276"/>
      <c r="S2228" s="277">
        <f>IF(OR(C2228="",C2228=T$4),NA(),MATCH($B2228&amp;$C2228,'Smelter Reference List'!$J:$J,0))</f>
        <v>502</v>
      </c>
      <c r="T2228" s="278"/>
      <c r="U2228" s="278"/>
      <c r="V2228" s="278"/>
      <c r="W2228" s="278"/>
    </row>
    <row r="2229" spans="1:23" s="269" customFormat="1" ht="20.25">
      <c r="A2229" s="267"/>
      <c r="B2229" s="275" t="s">
        <v>2439</v>
      </c>
      <c r="C2229" s="275" t="s">
        <v>3831</v>
      </c>
      <c r="D2229" s="168" t="s">
        <v>5641</v>
      </c>
      <c r="E2229" s="168" t="s">
        <v>2362</v>
      </c>
      <c r="F2229" s="168" t="s">
        <v>4623</v>
      </c>
      <c r="G2229" s="168" t="s">
        <v>4623</v>
      </c>
      <c r="H2229" s="292" t="s">
        <v>8114</v>
      </c>
      <c r="I2229" s="293" t="s">
        <v>8115</v>
      </c>
      <c r="J2229" s="293" t="s">
        <v>3639</v>
      </c>
      <c r="K2229" s="290" t="s">
        <v>8116</v>
      </c>
      <c r="L2229" s="290" t="s">
        <v>8117</v>
      </c>
      <c r="M2229" s="290" t="s">
        <v>4623</v>
      </c>
      <c r="N2229" s="290" t="s">
        <v>4623</v>
      </c>
      <c r="O2229" s="290" t="s">
        <v>4623</v>
      </c>
      <c r="P2229" s="290" t="s">
        <v>999</v>
      </c>
      <c r="Q2229" s="291" t="s">
        <v>4623</v>
      </c>
      <c r="R2229" s="276"/>
      <c r="S2229" s="277">
        <f>IF(OR(C2229="",C2229=T$4),NA(),MATCH($B2229&amp;$C2229,'Smelter Reference List'!$J:$J,0))</f>
        <v>502</v>
      </c>
      <c r="T2229" s="278"/>
      <c r="U2229" s="278"/>
      <c r="V2229" s="278"/>
      <c r="W2229" s="278"/>
    </row>
    <row r="2230" spans="1:23" s="269" customFormat="1" ht="20.25">
      <c r="A2230" s="267"/>
      <c r="B2230" s="275" t="s">
        <v>2439</v>
      </c>
      <c r="C2230" s="275" t="s">
        <v>3831</v>
      </c>
      <c r="D2230" s="168" t="s">
        <v>7405</v>
      </c>
      <c r="E2230" s="168" t="s">
        <v>2362</v>
      </c>
      <c r="F2230" s="168" t="s">
        <v>4623</v>
      </c>
      <c r="G2230" s="168" t="s">
        <v>4623</v>
      </c>
      <c r="H2230" s="292" t="s">
        <v>4623</v>
      </c>
      <c r="I2230" s="293" t="s">
        <v>4623</v>
      </c>
      <c r="J2230" s="293" t="s">
        <v>4623</v>
      </c>
      <c r="K2230" s="290" t="s">
        <v>4623</v>
      </c>
      <c r="L2230" s="290" t="s">
        <v>4623</v>
      </c>
      <c r="M2230" s="290" t="s">
        <v>4623</v>
      </c>
      <c r="N2230" s="290" t="s">
        <v>4623</v>
      </c>
      <c r="O2230" s="290" t="s">
        <v>4623</v>
      </c>
      <c r="P2230" s="290" t="s">
        <v>999</v>
      </c>
      <c r="Q2230" s="291" t="s">
        <v>4623</v>
      </c>
      <c r="R2230" s="276"/>
      <c r="S2230" s="277">
        <f>IF(OR(C2230="",C2230=T$4),NA(),MATCH($B2230&amp;$C2230,'Smelter Reference List'!$J:$J,0))</f>
        <v>502</v>
      </c>
      <c r="T2230" s="278"/>
      <c r="U2230" s="278"/>
      <c r="V2230" s="278"/>
      <c r="W2230" s="278"/>
    </row>
    <row r="2231" spans="1:23" s="269" customFormat="1" ht="20.25">
      <c r="A2231" s="267"/>
      <c r="B2231" s="275" t="s">
        <v>2439</v>
      </c>
      <c r="C2231" s="275" t="s">
        <v>3831</v>
      </c>
      <c r="D2231" s="168" t="s">
        <v>6176</v>
      </c>
      <c r="E2231" s="168" t="s">
        <v>2362</v>
      </c>
      <c r="F2231" s="168" t="s">
        <v>4623</v>
      </c>
      <c r="G2231" s="168" t="s">
        <v>4623</v>
      </c>
      <c r="H2231" s="292" t="s">
        <v>3328</v>
      </c>
      <c r="I2231" s="293" t="s">
        <v>6863</v>
      </c>
      <c r="J2231" s="293" t="s">
        <v>8118</v>
      </c>
      <c r="K2231" s="290" t="s">
        <v>5649</v>
      </c>
      <c r="L2231" s="290" t="s">
        <v>4623</v>
      </c>
      <c r="M2231" s="290" t="s">
        <v>4623</v>
      </c>
      <c r="N2231" s="290" t="s">
        <v>4623</v>
      </c>
      <c r="O2231" s="290" t="s">
        <v>4623</v>
      </c>
      <c r="P2231" s="290" t="s">
        <v>999</v>
      </c>
      <c r="Q2231" s="291" t="s">
        <v>4623</v>
      </c>
      <c r="R2231" s="276"/>
      <c r="S2231" s="277">
        <f>IF(OR(C2231="",C2231=T$4),NA(),MATCH($B2231&amp;$C2231,'Smelter Reference List'!$J:$J,0))</f>
        <v>502</v>
      </c>
      <c r="T2231" s="278"/>
      <c r="U2231" s="278"/>
      <c r="V2231" s="278"/>
      <c r="W2231" s="278"/>
    </row>
    <row r="2232" spans="1:23" s="269" customFormat="1" ht="20.25">
      <c r="A2232" s="267"/>
      <c r="B2232" s="275" t="s">
        <v>2439</v>
      </c>
      <c r="C2232" s="275" t="s">
        <v>3831</v>
      </c>
      <c r="D2232" s="168" t="s">
        <v>5451</v>
      </c>
      <c r="E2232" s="168" t="s">
        <v>2362</v>
      </c>
      <c r="F2232" s="168" t="s">
        <v>4623</v>
      </c>
      <c r="G2232" s="168" t="s">
        <v>4623</v>
      </c>
      <c r="H2232" s="292" t="s">
        <v>8119</v>
      </c>
      <c r="I2232" s="293" t="s">
        <v>8119</v>
      </c>
      <c r="J2232" s="293" t="s">
        <v>8120</v>
      </c>
      <c r="K2232" s="290" t="s">
        <v>8121</v>
      </c>
      <c r="L2232" s="290" t="s">
        <v>4623</v>
      </c>
      <c r="M2232" s="290" t="s">
        <v>4628</v>
      </c>
      <c r="N2232" s="290" t="s">
        <v>4623</v>
      </c>
      <c r="O2232" s="290" t="s">
        <v>4623</v>
      </c>
      <c r="P2232" s="290" t="s">
        <v>999</v>
      </c>
      <c r="Q2232" s="291" t="s">
        <v>4623</v>
      </c>
      <c r="R2232" s="276"/>
      <c r="S2232" s="277">
        <f>IF(OR(C2232="",C2232=T$4),NA(),MATCH($B2232&amp;$C2232,'Smelter Reference List'!$J:$J,0))</f>
        <v>502</v>
      </c>
      <c r="T2232" s="278"/>
      <c r="U2232" s="278"/>
      <c r="V2232" s="278"/>
      <c r="W2232" s="278"/>
    </row>
    <row r="2233" spans="1:23" s="269" customFormat="1" ht="20.25">
      <c r="A2233" s="267"/>
      <c r="B2233" s="275" t="s">
        <v>2439</v>
      </c>
      <c r="C2233" s="275" t="s">
        <v>3831</v>
      </c>
      <c r="D2233" s="168" t="s">
        <v>8122</v>
      </c>
      <c r="E2233" s="168" t="s">
        <v>2362</v>
      </c>
      <c r="F2233" s="168" t="s">
        <v>4623</v>
      </c>
      <c r="G2233" s="168" t="s">
        <v>4623</v>
      </c>
      <c r="H2233" s="292" t="s">
        <v>4700</v>
      </c>
      <c r="I2233" s="293" t="s">
        <v>8123</v>
      </c>
      <c r="J2233" s="293" t="s">
        <v>8124</v>
      </c>
      <c r="K2233" s="290" t="s">
        <v>4623</v>
      </c>
      <c r="L2233" s="290" t="s">
        <v>4623</v>
      </c>
      <c r="M2233" s="290" t="s">
        <v>4623</v>
      </c>
      <c r="N2233" s="290" t="s">
        <v>4623</v>
      </c>
      <c r="O2233" s="290" t="s">
        <v>6790</v>
      </c>
      <c r="P2233" s="290" t="s">
        <v>999</v>
      </c>
      <c r="Q2233" s="291" t="s">
        <v>4623</v>
      </c>
      <c r="R2233" s="276"/>
      <c r="S2233" s="277">
        <f>IF(OR(C2233="",C2233=T$4),NA(),MATCH($B2233&amp;$C2233,'Smelter Reference List'!$J:$J,0))</f>
        <v>502</v>
      </c>
      <c r="T2233" s="278"/>
      <c r="U2233" s="278"/>
      <c r="V2233" s="278"/>
      <c r="W2233" s="278"/>
    </row>
    <row r="2234" spans="1:23" s="269" customFormat="1" ht="20.25">
      <c r="A2234" s="267"/>
      <c r="B2234" s="275" t="s">
        <v>2439</v>
      </c>
      <c r="C2234" s="275" t="s">
        <v>3831</v>
      </c>
      <c r="D2234" s="168" t="s">
        <v>8125</v>
      </c>
      <c r="E2234" s="168" t="s">
        <v>2362</v>
      </c>
      <c r="F2234" s="168" t="s">
        <v>4623</v>
      </c>
      <c r="G2234" s="168" t="s">
        <v>4623</v>
      </c>
      <c r="H2234" s="292" t="s">
        <v>4623</v>
      </c>
      <c r="I2234" s="293" t="s">
        <v>4623</v>
      </c>
      <c r="J2234" s="293" t="s">
        <v>4623</v>
      </c>
      <c r="K2234" s="290" t="s">
        <v>4623</v>
      </c>
      <c r="L2234" s="290" t="s">
        <v>4623</v>
      </c>
      <c r="M2234" s="290" t="s">
        <v>4628</v>
      </c>
      <c r="N2234" s="290" t="s">
        <v>4623</v>
      </c>
      <c r="O2234" s="290" t="s">
        <v>4623</v>
      </c>
      <c r="P2234" s="290" t="s">
        <v>999</v>
      </c>
      <c r="Q2234" s="291" t="s">
        <v>4623</v>
      </c>
      <c r="R2234" s="276"/>
      <c r="S2234" s="277">
        <f>IF(OR(C2234="",C2234=T$4),NA(),MATCH($B2234&amp;$C2234,'Smelter Reference List'!$J:$J,0))</f>
        <v>502</v>
      </c>
      <c r="T2234" s="278"/>
      <c r="U2234" s="278"/>
      <c r="V2234" s="278"/>
      <c r="W2234" s="278"/>
    </row>
    <row r="2235" spans="1:23" s="269" customFormat="1" ht="20.25">
      <c r="A2235" s="267"/>
      <c r="B2235" s="275" t="s">
        <v>2439</v>
      </c>
      <c r="C2235" s="275" t="s">
        <v>3831</v>
      </c>
      <c r="D2235" s="168" t="s">
        <v>8126</v>
      </c>
      <c r="E2235" s="168" t="s">
        <v>2362</v>
      </c>
      <c r="F2235" s="168" t="s">
        <v>4623</v>
      </c>
      <c r="G2235" s="168" t="s">
        <v>4623</v>
      </c>
      <c r="H2235" s="292" t="s">
        <v>6863</v>
      </c>
      <c r="I2235" s="293" t="s">
        <v>3328</v>
      </c>
      <c r="J2235" s="293" t="s">
        <v>4623</v>
      </c>
      <c r="K2235" s="290" t="s">
        <v>4623</v>
      </c>
      <c r="L2235" s="290" t="s">
        <v>4623</v>
      </c>
      <c r="M2235" s="290" t="s">
        <v>4623</v>
      </c>
      <c r="N2235" s="290" t="s">
        <v>4623</v>
      </c>
      <c r="O2235" s="290" t="s">
        <v>6092</v>
      </c>
      <c r="P2235" s="290" t="s">
        <v>999</v>
      </c>
      <c r="Q2235" s="291" t="s">
        <v>4623</v>
      </c>
      <c r="R2235" s="276"/>
      <c r="S2235" s="277">
        <f>IF(OR(C2235="",C2235=T$4),NA(),MATCH($B2235&amp;$C2235,'Smelter Reference List'!$J:$J,0))</f>
        <v>502</v>
      </c>
      <c r="T2235" s="278"/>
      <c r="U2235" s="278"/>
      <c r="V2235" s="278"/>
      <c r="W2235" s="278"/>
    </row>
    <row r="2236" spans="1:23" s="269" customFormat="1" ht="20.25">
      <c r="A2236" s="267"/>
      <c r="B2236" s="275" t="s">
        <v>2439</v>
      </c>
      <c r="C2236" s="275" t="s">
        <v>3831</v>
      </c>
      <c r="D2236" s="168" t="s">
        <v>8127</v>
      </c>
      <c r="E2236" s="168" t="s">
        <v>2362</v>
      </c>
      <c r="F2236" s="168" t="s">
        <v>4623</v>
      </c>
      <c r="G2236" s="168" t="s">
        <v>4623</v>
      </c>
      <c r="H2236" s="292" t="s">
        <v>4623</v>
      </c>
      <c r="I2236" s="293" t="s">
        <v>4623</v>
      </c>
      <c r="J2236" s="293" t="s">
        <v>4623</v>
      </c>
      <c r="K2236" s="290" t="s">
        <v>4623</v>
      </c>
      <c r="L2236" s="290" t="s">
        <v>4623</v>
      </c>
      <c r="M2236" s="290" t="s">
        <v>4623</v>
      </c>
      <c r="N2236" s="290" t="s">
        <v>4623</v>
      </c>
      <c r="O2236" s="290" t="s">
        <v>4623</v>
      </c>
      <c r="P2236" s="290" t="s">
        <v>999</v>
      </c>
      <c r="Q2236" s="291" t="s">
        <v>4623</v>
      </c>
      <c r="R2236" s="276"/>
      <c r="S2236" s="277">
        <f>IF(OR(C2236="",C2236=T$4),NA(),MATCH($B2236&amp;$C2236,'Smelter Reference List'!$J:$J,0))</f>
        <v>502</v>
      </c>
      <c r="T2236" s="278"/>
      <c r="U2236" s="278"/>
      <c r="V2236" s="278"/>
      <c r="W2236" s="278"/>
    </row>
    <row r="2237" spans="1:23" s="269" customFormat="1" ht="20.25">
      <c r="A2237" s="267"/>
      <c r="B2237" s="275" t="s">
        <v>2439</v>
      </c>
      <c r="C2237" s="275" t="s">
        <v>3831</v>
      </c>
      <c r="D2237" s="168" t="s">
        <v>5685</v>
      </c>
      <c r="E2237" s="168" t="s">
        <v>2362</v>
      </c>
      <c r="F2237" s="168" t="s">
        <v>4623</v>
      </c>
      <c r="G2237" s="168" t="s">
        <v>4623</v>
      </c>
      <c r="H2237" s="292" t="s">
        <v>4623</v>
      </c>
      <c r="I2237" s="293" t="s">
        <v>4623</v>
      </c>
      <c r="J2237" s="293" t="s">
        <v>4623</v>
      </c>
      <c r="K2237" s="290" t="s">
        <v>4623</v>
      </c>
      <c r="L2237" s="290" t="s">
        <v>4623</v>
      </c>
      <c r="M2237" s="290" t="s">
        <v>4623</v>
      </c>
      <c r="N2237" s="290" t="s">
        <v>4623</v>
      </c>
      <c r="O2237" s="290" t="s">
        <v>4623</v>
      </c>
      <c r="P2237" s="290" t="s">
        <v>999</v>
      </c>
      <c r="Q2237" s="291" t="s">
        <v>4623</v>
      </c>
      <c r="R2237" s="276"/>
      <c r="S2237" s="277">
        <f>IF(OR(C2237="",C2237=T$4),NA(),MATCH($B2237&amp;$C2237,'Smelter Reference List'!$J:$J,0))</f>
        <v>502</v>
      </c>
      <c r="T2237" s="278"/>
      <c r="U2237" s="278"/>
      <c r="V2237" s="278"/>
      <c r="W2237" s="278"/>
    </row>
    <row r="2238" spans="1:23" s="269" customFormat="1" ht="20.25">
      <c r="A2238" s="267"/>
      <c r="B2238" s="275" t="s">
        <v>2439</v>
      </c>
      <c r="C2238" s="275" t="s">
        <v>3831</v>
      </c>
      <c r="D2238" s="168" t="s">
        <v>8128</v>
      </c>
      <c r="E2238" s="168" t="s">
        <v>2362</v>
      </c>
      <c r="F2238" s="168" t="s">
        <v>4623</v>
      </c>
      <c r="G2238" s="168" t="s">
        <v>4623</v>
      </c>
      <c r="H2238" s="292" t="s">
        <v>4623</v>
      </c>
      <c r="I2238" s="293" t="s">
        <v>4623</v>
      </c>
      <c r="J2238" s="293" t="s">
        <v>4623</v>
      </c>
      <c r="K2238" s="290" t="s">
        <v>4623</v>
      </c>
      <c r="L2238" s="290" t="s">
        <v>4623</v>
      </c>
      <c r="M2238" s="290" t="s">
        <v>4623</v>
      </c>
      <c r="N2238" s="290" t="s">
        <v>4623</v>
      </c>
      <c r="O2238" s="290" t="s">
        <v>4623</v>
      </c>
      <c r="P2238" s="290" t="s">
        <v>999</v>
      </c>
      <c r="Q2238" s="291" t="s">
        <v>4623</v>
      </c>
      <c r="R2238" s="276"/>
      <c r="S2238" s="277">
        <f>IF(OR(C2238="",C2238=T$4),NA(),MATCH($B2238&amp;$C2238,'Smelter Reference List'!$J:$J,0))</f>
        <v>502</v>
      </c>
      <c r="T2238" s="278"/>
      <c r="U2238" s="278"/>
      <c r="V2238" s="278"/>
      <c r="W2238" s="278"/>
    </row>
    <row r="2239" spans="1:23" s="269" customFormat="1" ht="20.25">
      <c r="A2239" s="267"/>
      <c r="B2239" s="275" t="s">
        <v>2439</v>
      </c>
      <c r="C2239" s="275" t="s">
        <v>3831</v>
      </c>
      <c r="D2239" s="168" t="s">
        <v>8129</v>
      </c>
      <c r="E2239" s="168" t="s">
        <v>2362</v>
      </c>
      <c r="F2239" s="168" t="s">
        <v>4623</v>
      </c>
      <c r="G2239" s="168" t="s">
        <v>4623</v>
      </c>
      <c r="H2239" s="292" t="s">
        <v>8130</v>
      </c>
      <c r="I2239" s="293" t="s">
        <v>4623</v>
      </c>
      <c r="J2239" s="293" t="s">
        <v>4623</v>
      </c>
      <c r="K2239" s="290" t="s">
        <v>4623</v>
      </c>
      <c r="L2239" s="290" t="s">
        <v>4623</v>
      </c>
      <c r="M2239" s="290" t="s">
        <v>4623</v>
      </c>
      <c r="N2239" s="290" t="s">
        <v>4623</v>
      </c>
      <c r="O2239" s="290" t="s">
        <v>4623</v>
      </c>
      <c r="P2239" s="290" t="s">
        <v>999</v>
      </c>
      <c r="Q2239" s="291" t="s">
        <v>4623</v>
      </c>
      <c r="R2239" s="276"/>
      <c r="S2239" s="277">
        <f>IF(OR(C2239="",C2239=T$4),NA(),MATCH($B2239&amp;$C2239,'Smelter Reference List'!$J:$J,0))</f>
        <v>502</v>
      </c>
      <c r="T2239" s="278"/>
      <c r="U2239" s="278"/>
      <c r="V2239" s="278"/>
      <c r="W2239" s="278"/>
    </row>
    <row r="2240" spans="1:23" s="269" customFormat="1" ht="20.25">
      <c r="A2240" s="267"/>
      <c r="B2240" s="275" t="s">
        <v>2439</v>
      </c>
      <c r="C2240" s="275" t="s">
        <v>3831</v>
      </c>
      <c r="D2240" s="168" t="s">
        <v>5713</v>
      </c>
      <c r="E2240" s="168" t="s">
        <v>2362</v>
      </c>
      <c r="F2240" s="168" t="s">
        <v>4623</v>
      </c>
      <c r="G2240" s="168" t="s">
        <v>4623</v>
      </c>
      <c r="H2240" s="292" t="s">
        <v>4623</v>
      </c>
      <c r="I2240" s="293" t="s">
        <v>4623</v>
      </c>
      <c r="J2240" s="293" t="s">
        <v>4623</v>
      </c>
      <c r="K2240" s="290" t="s">
        <v>4623</v>
      </c>
      <c r="L2240" s="290" t="s">
        <v>4623</v>
      </c>
      <c r="M2240" s="290" t="s">
        <v>4623</v>
      </c>
      <c r="N2240" s="290" t="s">
        <v>4623</v>
      </c>
      <c r="O2240" s="290" t="s">
        <v>4623</v>
      </c>
      <c r="P2240" s="290" t="s">
        <v>999</v>
      </c>
      <c r="Q2240" s="291" t="s">
        <v>4623</v>
      </c>
      <c r="R2240" s="276"/>
      <c r="S2240" s="277">
        <f>IF(OR(C2240="",C2240=T$4),NA(),MATCH($B2240&amp;$C2240,'Smelter Reference List'!$J:$J,0))</f>
        <v>502</v>
      </c>
      <c r="T2240" s="278"/>
      <c r="U2240" s="278"/>
      <c r="V2240" s="278"/>
      <c r="W2240" s="278"/>
    </row>
    <row r="2241" spans="1:23" s="269" customFormat="1" ht="20.25">
      <c r="A2241" s="267"/>
      <c r="B2241" s="275" t="s">
        <v>2439</v>
      </c>
      <c r="C2241" s="275" t="s">
        <v>3831</v>
      </c>
      <c r="D2241" s="168" t="s">
        <v>8131</v>
      </c>
      <c r="E2241" s="168" t="s">
        <v>2362</v>
      </c>
      <c r="F2241" s="168" t="s">
        <v>4623</v>
      </c>
      <c r="G2241" s="168" t="s">
        <v>4623</v>
      </c>
      <c r="H2241" s="292" t="s">
        <v>8132</v>
      </c>
      <c r="I2241" s="293" t="s">
        <v>4623</v>
      </c>
      <c r="J2241" s="293" t="s">
        <v>5635</v>
      </c>
      <c r="K2241" s="290" t="s">
        <v>8133</v>
      </c>
      <c r="L2241" s="290" t="s">
        <v>8134</v>
      </c>
      <c r="M2241" s="290" t="s">
        <v>4769</v>
      </c>
      <c r="N2241" s="290" t="s">
        <v>4769</v>
      </c>
      <c r="O2241" s="290" t="s">
        <v>4769</v>
      </c>
      <c r="P2241" s="290" t="s">
        <v>999</v>
      </c>
      <c r="Q2241" s="291" t="s">
        <v>4623</v>
      </c>
      <c r="R2241" s="276"/>
      <c r="S2241" s="277">
        <f>IF(OR(C2241="",C2241=T$4),NA(),MATCH($B2241&amp;$C2241,'Smelter Reference List'!$J:$J,0))</f>
        <v>502</v>
      </c>
      <c r="T2241" s="278"/>
      <c r="U2241" s="278"/>
      <c r="V2241" s="278"/>
      <c r="W2241" s="278"/>
    </row>
    <row r="2242" spans="1:23" s="269" customFormat="1" ht="20.25">
      <c r="A2242" s="267"/>
      <c r="B2242" s="275" t="s">
        <v>2439</v>
      </c>
      <c r="C2242" s="275" t="s">
        <v>3831</v>
      </c>
      <c r="D2242" s="168" t="s">
        <v>8135</v>
      </c>
      <c r="E2242" s="168" t="s">
        <v>2362</v>
      </c>
      <c r="F2242" s="168" t="s">
        <v>4623</v>
      </c>
      <c r="G2242" s="168" t="s">
        <v>4623</v>
      </c>
      <c r="H2242" s="292" t="s">
        <v>4623</v>
      </c>
      <c r="I2242" s="293" t="s">
        <v>4623</v>
      </c>
      <c r="J2242" s="293" t="s">
        <v>4623</v>
      </c>
      <c r="K2242" s="290" t="s">
        <v>4623</v>
      </c>
      <c r="L2242" s="290" t="s">
        <v>4623</v>
      </c>
      <c r="M2242" s="290" t="s">
        <v>4623</v>
      </c>
      <c r="N2242" s="290" t="s">
        <v>4623</v>
      </c>
      <c r="O2242" s="290" t="s">
        <v>4623</v>
      </c>
      <c r="P2242" s="290" t="s">
        <v>999</v>
      </c>
      <c r="Q2242" s="291" t="s">
        <v>4623</v>
      </c>
      <c r="R2242" s="276"/>
      <c r="S2242" s="277">
        <f>IF(OR(C2242="",C2242=T$4),NA(),MATCH($B2242&amp;$C2242,'Smelter Reference List'!$J:$J,0))</f>
        <v>502</v>
      </c>
      <c r="T2242" s="278"/>
      <c r="U2242" s="278"/>
      <c r="V2242" s="278"/>
      <c r="W2242" s="278"/>
    </row>
    <row r="2243" spans="1:23" s="269" customFormat="1" ht="20.25">
      <c r="A2243" s="267"/>
      <c r="B2243" s="275" t="s">
        <v>2439</v>
      </c>
      <c r="C2243" s="275" t="s">
        <v>3831</v>
      </c>
      <c r="D2243" s="168" t="s">
        <v>8136</v>
      </c>
      <c r="E2243" s="168" t="s">
        <v>2362</v>
      </c>
      <c r="F2243" s="168" t="s">
        <v>4623</v>
      </c>
      <c r="G2243" s="168" t="s">
        <v>4623</v>
      </c>
      <c r="H2243" s="292" t="s">
        <v>4623</v>
      </c>
      <c r="I2243" s="293" t="s">
        <v>4623</v>
      </c>
      <c r="J2243" s="293" t="s">
        <v>4623</v>
      </c>
      <c r="K2243" s="290" t="s">
        <v>4623</v>
      </c>
      <c r="L2243" s="290" t="s">
        <v>4623</v>
      </c>
      <c r="M2243" s="290" t="s">
        <v>4623</v>
      </c>
      <c r="N2243" s="290" t="s">
        <v>4623</v>
      </c>
      <c r="O2243" s="290" t="s">
        <v>4623</v>
      </c>
      <c r="P2243" s="290" t="s">
        <v>999</v>
      </c>
      <c r="Q2243" s="291" t="s">
        <v>4623</v>
      </c>
      <c r="R2243" s="276"/>
      <c r="S2243" s="277">
        <f>IF(OR(C2243="",C2243=T$4),NA(),MATCH($B2243&amp;$C2243,'Smelter Reference List'!$J:$J,0))</f>
        <v>502</v>
      </c>
      <c r="T2243" s="278"/>
      <c r="U2243" s="278"/>
      <c r="V2243" s="278"/>
      <c r="W2243" s="278"/>
    </row>
    <row r="2244" spans="1:23" s="269" customFormat="1" ht="20.25">
      <c r="A2244" s="267"/>
      <c r="B2244" s="275" t="s">
        <v>2439</v>
      </c>
      <c r="C2244" s="275" t="s">
        <v>3831</v>
      </c>
      <c r="D2244" s="168" t="s">
        <v>8137</v>
      </c>
      <c r="E2244" s="168" t="s">
        <v>2362</v>
      </c>
      <c r="F2244" s="168" t="s">
        <v>4623</v>
      </c>
      <c r="G2244" s="168" t="s">
        <v>4623</v>
      </c>
      <c r="H2244" s="292" t="s">
        <v>4623</v>
      </c>
      <c r="I2244" s="293" t="s">
        <v>4623</v>
      </c>
      <c r="J2244" s="293" t="s">
        <v>4623</v>
      </c>
      <c r="K2244" s="290" t="s">
        <v>4623</v>
      </c>
      <c r="L2244" s="290" t="s">
        <v>4623</v>
      </c>
      <c r="M2244" s="290" t="s">
        <v>4623</v>
      </c>
      <c r="N2244" s="290" t="s">
        <v>4623</v>
      </c>
      <c r="O2244" s="290" t="s">
        <v>4623</v>
      </c>
      <c r="P2244" s="290" t="s">
        <v>999</v>
      </c>
      <c r="Q2244" s="291" t="s">
        <v>4623</v>
      </c>
      <c r="R2244" s="276"/>
      <c r="S2244" s="277">
        <f>IF(OR(C2244="",C2244=T$4),NA(),MATCH($B2244&amp;$C2244,'Smelter Reference List'!$J:$J,0))</f>
        <v>502</v>
      </c>
      <c r="T2244" s="278"/>
      <c r="U2244" s="278"/>
      <c r="V2244" s="278"/>
      <c r="W2244" s="278"/>
    </row>
    <row r="2245" spans="1:23" s="269" customFormat="1" ht="20.25">
      <c r="A2245" s="267"/>
      <c r="B2245" s="275" t="s">
        <v>2439</v>
      </c>
      <c r="C2245" s="275" t="s">
        <v>3831</v>
      </c>
      <c r="D2245" s="168" t="s">
        <v>8138</v>
      </c>
      <c r="E2245" s="168" t="s">
        <v>2362</v>
      </c>
      <c r="F2245" s="168" t="s">
        <v>4623</v>
      </c>
      <c r="G2245" s="168" t="s">
        <v>4623</v>
      </c>
      <c r="H2245" s="292" t="s">
        <v>4623</v>
      </c>
      <c r="I2245" s="293" t="s">
        <v>4623</v>
      </c>
      <c r="J2245" s="293" t="s">
        <v>4623</v>
      </c>
      <c r="K2245" s="290" t="s">
        <v>4623</v>
      </c>
      <c r="L2245" s="290" t="s">
        <v>4623</v>
      </c>
      <c r="M2245" s="290" t="s">
        <v>4623</v>
      </c>
      <c r="N2245" s="290" t="s">
        <v>8139</v>
      </c>
      <c r="O2245" s="290" t="s">
        <v>8139</v>
      </c>
      <c r="P2245" s="290" t="s">
        <v>998</v>
      </c>
      <c r="Q2245" s="291" t="s">
        <v>8140</v>
      </c>
      <c r="R2245" s="276"/>
      <c r="S2245" s="277">
        <f>IF(OR(C2245="",C2245=T$4),NA(),MATCH($B2245&amp;$C2245,'Smelter Reference List'!$J:$J,0))</f>
        <v>502</v>
      </c>
      <c r="T2245" s="278"/>
      <c r="U2245" s="278"/>
      <c r="V2245" s="278"/>
      <c r="W2245" s="278"/>
    </row>
    <row r="2246" spans="1:23" s="269" customFormat="1" ht="20.25">
      <c r="A2246" s="267"/>
      <c r="B2246" s="275" t="s">
        <v>2439</v>
      </c>
      <c r="C2246" s="275" t="s">
        <v>3831</v>
      </c>
      <c r="D2246" s="168" t="s">
        <v>8141</v>
      </c>
      <c r="E2246" s="168" t="s">
        <v>2362</v>
      </c>
      <c r="F2246" s="168" t="s">
        <v>4623</v>
      </c>
      <c r="G2246" s="168" t="s">
        <v>4623</v>
      </c>
      <c r="H2246" s="292" t="s">
        <v>4623</v>
      </c>
      <c r="I2246" s="293" t="s">
        <v>4623</v>
      </c>
      <c r="J2246" s="293" t="s">
        <v>4623</v>
      </c>
      <c r="K2246" s="290" t="s">
        <v>4623</v>
      </c>
      <c r="L2246" s="290" t="s">
        <v>4623</v>
      </c>
      <c r="M2246" s="290" t="s">
        <v>4623</v>
      </c>
      <c r="N2246" s="290" t="s">
        <v>4623</v>
      </c>
      <c r="O2246" s="290" t="s">
        <v>4623</v>
      </c>
      <c r="P2246" s="290" t="s">
        <v>999</v>
      </c>
      <c r="Q2246" s="291" t="s">
        <v>4623</v>
      </c>
      <c r="R2246" s="276"/>
      <c r="S2246" s="277">
        <f>IF(OR(C2246="",C2246=T$4),NA(),MATCH($B2246&amp;$C2246,'Smelter Reference List'!$J:$J,0))</f>
        <v>502</v>
      </c>
      <c r="T2246" s="278"/>
      <c r="U2246" s="278"/>
      <c r="V2246" s="278"/>
      <c r="W2246" s="278"/>
    </row>
    <row r="2247" spans="1:23" s="269" customFormat="1" ht="20.25">
      <c r="A2247" s="267"/>
      <c r="B2247" s="275" t="s">
        <v>2439</v>
      </c>
      <c r="C2247" s="275" t="s">
        <v>3831</v>
      </c>
      <c r="D2247" s="168" t="s">
        <v>8142</v>
      </c>
      <c r="E2247" s="168" t="s">
        <v>2362</v>
      </c>
      <c r="F2247" s="168" t="s">
        <v>4623</v>
      </c>
      <c r="G2247" s="168" t="s">
        <v>4623</v>
      </c>
      <c r="H2247" s="292" t="s">
        <v>4623</v>
      </c>
      <c r="I2247" s="293" t="s">
        <v>4623</v>
      </c>
      <c r="J2247" s="293" t="s">
        <v>4623</v>
      </c>
      <c r="K2247" s="290" t="s">
        <v>4623</v>
      </c>
      <c r="L2247" s="290" t="s">
        <v>4623</v>
      </c>
      <c r="M2247" s="290" t="s">
        <v>4623</v>
      </c>
      <c r="N2247" s="290" t="s">
        <v>4623</v>
      </c>
      <c r="O2247" s="290" t="s">
        <v>4623</v>
      </c>
      <c r="P2247" s="290" t="s">
        <v>999</v>
      </c>
      <c r="Q2247" s="291" t="s">
        <v>4623</v>
      </c>
      <c r="R2247" s="276"/>
      <c r="S2247" s="277">
        <f>IF(OR(C2247="",C2247=T$4),NA(),MATCH($B2247&amp;$C2247,'Smelter Reference List'!$J:$J,0))</f>
        <v>502</v>
      </c>
      <c r="T2247" s="278"/>
      <c r="U2247" s="278"/>
      <c r="V2247" s="278"/>
      <c r="W2247" s="278"/>
    </row>
    <row r="2248" spans="1:23" s="269" customFormat="1" ht="20.25">
      <c r="A2248" s="267"/>
      <c r="B2248" s="275" t="s">
        <v>2439</v>
      </c>
      <c r="C2248" s="275" t="s">
        <v>3831</v>
      </c>
      <c r="D2248" s="168" t="s">
        <v>8143</v>
      </c>
      <c r="E2248" s="168" t="s">
        <v>2362</v>
      </c>
      <c r="F2248" s="168" t="s">
        <v>4623</v>
      </c>
      <c r="G2248" s="168" t="s">
        <v>4623</v>
      </c>
      <c r="H2248" s="292" t="s">
        <v>4623</v>
      </c>
      <c r="I2248" s="293" t="s">
        <v>4623</v>
      </c>
      <c r="J2248" s="293" t="s">
        <v>4623</v>
      </c>
      <c r="K2248" s="290" t="s">
        <v>4623</v>
      </c>
      <c r="L2248" s="290" t="s">
        <v>4623</v>
      </c>
      <c r="M2248" s="290" t="s">
        <v>4623</v>
      </c>
      <c r="N2248" s="290" t="s">
        <v>4623</v>
      </c>
      <c r="O2248" s="290" t="s">
        <v>4623</v>
      </c>
      <c r="P2248" s="290" t="s">
        <v>999</v>
      </c>
      <c r="Q2248" s="291" t="s">
        <v>4623</v>
      </c>
      <c r="R2248" s="276"/>
      <c r="S2248" s="277">
        <f>IF(OR(C2248="",C2248=T$4),NA(),MATCH($B2248&amp;$C2248,'Smelter Reference List'!$J:$J,0))</f>
        <v>502</v>
      </c>
      <c r="T2248" s="278"/>
      <c r="U2248" s="278"/>
      <c r="V2248" s="278"/>
      <c r="W2248" s="278"/>
    </row>
    <row r="2249" spans="1:23" s="269" customFormat="1" ht="20.25">
      <c r="A2249" s="267"/>
      <c r="B2249" s="275" t="s">
        <v>2439</v>
      </c>
      <c r="C2249" s="275" t="s">
        <v>3831</v>
      </c>
      <c r="D2249" s="168" t="s">
        <v>8144</v>
      </c>
      <c r="E2249" s="168" t="s">
        <v>2362</v>
      </c>
      <c r="F2249" s="168" t="s">
        <v>4623</v>
      </c>
      <c r="G2249" s="168" t="s">
        <v>4623</v>
      </c>
      <c r="H2249" s="292" t="s">
        <v>4623</v>
      </c>
      <c r="I2249" s="293" t="s">
        <v>4623</v>
      </c>
      <c r="J2249" s="293" t="s">
        <v>4623</v>
      </c>
      <c r="K2249" s="290" t="s">
        <v>4623</v>
      </c>
      <c r="L2249" s="290" t="s">
        <v>4623</v>
      </c>
      <c r="M2249" s="290" t="s">
        <v>4623</v>
      </c>
      <c r="N2249" s="290" t="s">
        <v>8139</v>
      </c>
      <c r="O2249" s="290" t="s">
        <v>8139</v>
      </c>
      <c r="P2249" s="290" t="s">
        <v>998</v>
      </c>
      <c r="Q2249" s="291" t="s">
        <v>8145</v>
      </c>
      <c r="R2249" s="276"/>
      <c r="S2249" s="277">
        <f>IF(OR(C2249="",C2249=T$4),NA(),MATCH($B2249&amp;$C2249,'Smelter Reference List'!$J:$J,0))</f>
        <v>502</v>
      </c>
      <c r="T2249" s="278"/>
      <c r="U2249" s="278"/>
      <c r="V2249" s="278"/>
      <c r="W2249" s="278"/>
    </row>
    <row r="2250" spans="1:23" s="269" customFormat="1" ht="20.25">
      <c r="A2250" s="267"/>
      <c r="B2250" s="275" t="s">
        <v>2439</v>
      </c>
      <c r="C2250" s="275" t="s">
        <v>3831</v>
      </c>
      <c r="D2250" s="168" t="s">
        <v>8146</v>
      </c>
      <c r="E2250" s="168" t="s">
        <v>2363</v>
      </c>
      <c r="F2250" s="168" t="s">
        <v>4623</v>
      </c>
      <c r="G2250" s="168" t="s">
        <v>4623</v>
      </c>
      <c r="H2250" s="292" t="s">
        <v>4623</v>
      </c>
      <c r="I2250" s="293" t="s">
        <v>4623</v>
      </c>
      <c r="J2250" s="293" t="s">
        <v>4623</v>
      </c>
      <c r="K2250" s="290" t="s">
        <v>4623</v>
      </c>
      <c r="L2250" s="290" t="s">
        <v>4623</v>
      </c>
      <c r="M2250" s="290" t="s">
        <v>4623</v>
      </c>
      <c r="N2250" s="290" t="s">
        <v>4623</v>
      </c>
      <c r="O2250" s="290" t="s">
        <v>4623</v>
      </c>
      <c r="P2250" s="290" t="s">
        <v>999</v>
      </c>
      <c r="Q2250" s="291" t="s">
        <v>4623</v>
      </c>
      <c r="R2250" s="276"/>
      <c r="S2250" s="277">
        <f>IF(OR(C2250="",C2250=T$4),NA(),MATCH($B2250&amp;$C2250,'Smelter Reference List'!$J:$J,0))</f>
        <v>502</v>
      </c>
      <c r="T2250" s="278"/>
      <c r="U2250" s="278"/>
      <c r="V2250" s="278"/>
      <c r="W2250" s="278"/>
    </row>
    <row r="2251" spans="1:23" s="269" customFormat="1" ht="20.25">
      <c r="A2251" s="267"/>
      <c r="B2251" s="275" t="s">
        <v>2439</v>
      </c>
      <c r="C2251" s="275" t="s">
        <v>3831</v>
      </c>
      <c r="D2251" s="168" t="s">
        <v>8148</v>
      </c>
      <c r="E2251" s="168" t="s">
        <v>2380</v>
      </c>
      <c r="F2251" s="168" t="s">
        <v>4623</v>
      </c>
      <c r="G2251" s="168" t="s">
        <v>4623</v>
      </c>
      <c r="H2251" s="292" t="s">
        <v>4623</v>
      </c>
      <c r="I2251" s="293" t="s">
        <v>4623</v>
      </c>
      <c r="J2251" s="293" t="s">
        <v>4623</v>
      </c>
      <c r="K2251" s="290" t="s">
        <v>4623</v>
      </c>
      <c r="L2251" s="290" t="s">
        <v>4623</v>
      </c>
      <c r="M2251" s="290" t="s">
        <v>4623</v>
      </c>
      <c r="N2251" s="290" t="s">
        <v>4623</v>
      </c>
      <c r="O2251" s="290" t="s">
        <v>4623</v>
      </c>
      <c r="P2251" s="290" t="s">
        <v>999</v>
      </c>
      <c r="Q2251" s="291" t="s">
        <v>4623</v>
      </c>
      <c r="R2251" s="276"/>
      <c r="S2251" s="277">
        <f>IF(OR(C2251="",C2251=T$4),NA(),MATCH($B2251&amp;$C2251,'Smelter Reference List'!$J:$J,0))</f>
        <v>502</v>
      </c>
      <c r="T2251" s="278"/>
      <c r="U2251" s="278"/>
      <c r="V2251" s="278"/>
      <c r="W2251" s="278"/>
    </row>
    <row r="2252" spans="1:23" s="269" customFormat="1" ht="20.25">
      <c r="A2252" s="267"/>
      <c r="B2252" s="275" t="s">
        <v>2439</v>
      </c>
      <c r="C2252" s="275" t="s">
        <v>3831</v>
      </c>
      <c r="D2252" s="168" t="s">
        <v>8008</v>
      </c>
      <c r="E2252" s="168" t="s">
        <v>2402</v>
      </c>
      <c r="F2252" s="168" t="s">
        <v>4623</v>
      </c>
      <c r="G2252" s="168" t="s">
        <v>4623</v>
      </c>
      <c r="H2252" s="292" t="s">
        <v>4623</v>
      </c>
      <c r="I2252" s="293" t="s">
        <v>4623</v>
      </c>
      <c r="J2252" s="293" t="s">
        <v>4623</v>
      </c>
      <c r="K2252" s="290" t="s">
        <v>4623</v>
      </c>
      <c r="L2252" s="290" t="s">
        <v>4623</v>
      </c>
      <c r="M2252" s="290" t="s">
        <v>4623</v>
      </c>
      <c r="N2252" s="290" t="s">
        <v>4623</v>
      </c>
      <c r="O2252" s="290" t="s">
        <v>4623</v>
      </c>
      <c r="P2252" s="290" t="s">
        <v>999</v>
      </c>
      <c r="Q2252" s="291" t="s">
        <v>4623</v>
      </c>
      <c r="R2252" s="276"/>
      <c r="S2252" s="277">
        <f>IF(OR(C2252="",C2252=T$4),NA(),MATCH($B2252&amp;$C2252,'Smelter Reference List'!$J:$J,0))</f>
        <v>502</v>
      </c>
      <c r="T2252" s="278"/>
      <c r="U2252" s="278"/>
      <c r="V2252" s="278"/>
      <c r="W2252" s="278"/>
    </row>
    <row r="2253" spans="1:23" s="269" customFormat="1" ht="20.25">
      <c r="A2253" s="267"/>
      <c r="B2253" s="275" t="s">
        <v>2439</v>
      </c>
      <c r="C2253" s="275" t="s">
        <v>3831</v>
      </c>
      <c r="D2253" s="168" t="s">
        <v>5813</v>
      </c>
      <c r="E2253" s="168" t="s">
        <v>1825</v>
      </c>
      <c r="F2253" s="168" t="s">
        <v>8149</v>
      </c>
      <c r="G2253" s="168" t="s">
        <v>3324</v>
      </c>
      <c r="H2253" s="292" t="s">
        <v>8150</v>
      </c>
      <c r="I2253" s="293" t="s">
        <v>3457</v>
      </c>
      <c r="J2253" s="293" t="s">
        <v>8151</v>
      </c>
      <c r="K2253" s="290" t="s">
        <v>8152</v>
      </c>
      <c r="L2253" s="290" t="s">
        <v>6937</v>
      </c>
      <c r="M2253" s="290" t="s">
        <v>4623</v>
      </c>
      <c r="N2253" s="290" t="s">
        <v>4623</v>
      </c>
      <c r="O2253" s="290" t="s">
        <v>4623</v>
      </c>
      <c r="P2253" s="290" t="s">
        <v>999</v>
      </c>
      <c r="Q2253" s="291" t="s">
        <v>4623</v>
      </c>
      <c r="R2253" s="276"/>
      <c r="S2253" s="277">
        <f>IF(OR(C2253="",C2253=T$4),NA(),MATCH($B2253&amp;$C2253,'Smelter Reference List'!$J:$J,0))</f>
        <v>502</v>
      </c>
      <c r="T2253" s="278"/>
      <c r="U2253" s="278"/>
      <c r="V2253" s="278"/>
      <c r="W2253" s="278"/>
    </row>
    <row r="2254" spans="1:23" s="269" customFormat="1" ht="20.25">
      <c r="A2254" s="267"/>
      <c r="B2254" s="275" t="s">
        <v>2439</v>
      </c>
      <c r="C2254" s="275" t="s">
        <v>3831</v>
      </c>
      <c r="D2254" s="168" t="s">
        <v>8153</v>
      </c>
      <c r="E2254" s="168" t="s">
        <v>1830</v>
      </c>
      <c r="F2254" s="168" t="s">
        <v>4623</v>
      </c>
      <c r="G2254" s="168" t="s">
        <v>4623</v>
      </c>
      <c r="H2254" s="292" t="s">
        <v>4623</v>
      </c>
      <c r="I2254" s="293" t="s">
        <v>4623</v>
      </c>
      <c r="J2254" s="293" t="s">
        <v>4623</v>
      </c>
      <c r="K2254" s="290" t="s">
        <v>4623</v>
      </c>
      <c r="L2254" s="290" t="s">
        <v>4623</v>
      </c>
      <c r="M2254" s="290" t="s">
        <v>4623</v>
      </c>
      <c r="N2254" s="290" t="s">
        <v>4623</v>
      </c>
      <c r="O2254" s="290" t="s">
        <v>4623</v>
      </c>
      <c r="P2254" s="290" t="s">
        <v>999</v>
      </c>
      <c r="Q2254" s="291" t="s">
        <v>4623</v>
      </c>
      <c r="R2254" s="276"/>
      <c r="S2254" s="277">
        <f>IF(OR(C2254="",C2254=T$4),NA(),MATCH($B2254&amp;$C2254,'Smelter Reference List'!$J:$J,0))</f>
        <v>502</v>
      </c>
      <c r="T2254" s="278"/>
      <c r="U2254" s="278"/>
      <c r="V2254" s="278"/>
      <c r="W2254" s="278"/>
    </row>
    <row r="2255" spans="1:23" s="269" customFormat="1" ht="20.25">
      <c r="A2255" s="267"/>
      <c r="B2255" s="275" t="s">
        <v>2439</v>
      </c>
      <c r="C2255" s="275" t="s">
        <v>3831</v>
      </c>
      <c r="D2255" s="168" t="s">
        <v>8154</v>
      </c>
      <c r="E2255" s="168" t="s">
        <v>1830</v>
      </c>
      <c r="F2255" s="168" t="s">
        <v>4623</v>
      </c>
      <c r="G2255" s="168" t="s">
        <v>4623</v>
      </c>
      <c r="H2255" s="292" t="s">
        <v>4623</v>
      </c>
      <c r="I2255" s="293" t="s">
        <v>4623</v>
      </c>
      <c r="J2255" s="293" t="s">
        <v>4623</v>
      </c>
      <c r="K2255" s="290" t="s">
        <v>4623</v>
      </c>
      <c r="L2255" s="290" t="s">
        <v>4623</v>
      </c>
      <c r="M2255" s="290" t="s">
        <v>4623</v>
      </c>
      <c r="N2255" s="290" t="s">
        <v>4623</v>
      </c>
      <c r="O2255" s="290" t="s">
        <v>4623</v>
      </c>
      <c r="P2255" s="290" t="s">
        <v>999</v>
      </c>
      <c r="Q2255" s="291" t="s">
        <v>4623</v>
      </c>
      <c r="R2255" s="276"/>
      <c r="S2255" s="277">
        <f>IF(OR(C2255="",C2255=T$4),NA(),MATCH($B2255&amp;$C2255,'Smelter Reference List'!$J:$J,0))</f>
        <v>502</v>
      </c>
      <c r="T2255" s="278"/>
      <c r="U2255" s="278"/>
      <c r="V2255" s="278"/>
      <c r="W2255" s="278"/>
    </row>
    <row r="2256" spans="1:23" s="269" customFormat="1" ht="20.25">
      <c r="A2256" s="267"/>
      <c r="B2256" s="275" t="s">
        <v>2439</v>
      </c>
      <c r="C2256" s="275" t="s">
        <v>3831</v>
      </c>
      <c r="D2256" s="168" t="s">
        <v>5824</v>
      </c>
      <c r="E2256" s="168" t="s">
        <v>2318</v>
      </c>
      <c r="F2256" s="168" t="s">
        <v>4623</v>
      </c>
      <c r="G2256" s="168" t="s">
        <v>4623</v>
      </c>
      <c r="H2256" s="292" t="s">
        <v>4623</v>
      </c>
      <c r="I2256" s="293" t="s">
        <v>4623</v>
      </c>
      <c r="J2256" s="293" t="s">
        <v>4623</v>
      </c>
      <c r="K2256" s="290" t="s">
        <v>4623</v>
      </c>
      <c r="L2256" s="290" t="s">
        <v>4623</v>
      </c>
      <c r="M2256" s="290" t="s">
        <v>4623</v>
      </c>
      <c r="N2256" s="290" t="s">
        <v>4623</v>
      </c>
      <c r="O2256" s="290" t="s">
        <v>4623</v>
      </c>
      <c r="P2256" s="290" t="s">
        <v>999</v>
      </c>
      <c r="Q2256" s="291" t="s">
        <v>4623</v>
      </c>
      <c r="R2256" s="276"/>
      <c r="S2256" s="277">
        <f>IF(OR(C2256="",C2256=T$4),NA(),MATCH($B2256&amp;$C2256,'Smelter Reference List'!$J:$J,0))</f>
        <v>502</v>
      </c>
      <c r="T2256" s="278"/>
      <c r="U2256" s="278"/>
      <c r="V2256" s="278"/>
      <c r="W2256" s="278"/>
    </row>
    <row r="2257" spans="1:23" s="269" customFormat="1" ht="20.25">
      <c r="A2257" s="267"/>
      <c r="B2257" s="275" t="s">
        <v>2439</v>
      </c>
      <c r="C2257" s="275" t="s">
        <v>3831</v>
      </c>
      <c r="D2257" s="168" t="s">
        <v>8155</v>
      </c>
      <c r="E2257" s="168" t="s">
        <v>1844</v>
      </c>
      <c r="F2257" s="168" t="s">
        <v>4623</v>
      </c>
      <c r="G2257" s="168" t="s">
        <v>4623</v>
      </c>
      <c r="H2257" s="292" t="s">
        <v>8156</v>
      </c>
      <c r="I2257" s="293" t="s">
        <v>8157</v>
      </c>
      <c r="J2257" s="293" t="s">
        <v>4623</v>
      </c>
      <c r="K2257" s="290" t="s">
        <v>4623</v>
      </c>
      <c r="L2257" s="290" t="s">
        <v>4623</v>
      </c>
      <c r="M2257" s="290" t="s">
        <v>4623</v>
      </c>
      <c r="N2257" s="290" t="s">
        <v>4623</v>
      </c>
      <c r="O2257" s="290" t="s">
        <v>4623</v>
      </c>
      <c r="P2257" s="290" t="s">
        <v>999</v>
      </c>
      <c r="Q2257" s="291" t="s">
        <v>4623</v>
      </c>
      <c r="R2257" s="276"/>
      <c r="S2257" s="277">
        <f>IF(OR(C2257="",C2257=T$4),NA(),MATCH($B2257&amp;$C2257,'Smelter Reference List'!$J:$J,0))</f>
        <v>502</v>
      </c>
      <c r="T2257" s="278"/>
      <c r="U2257" s="278"/>
      <c r="V2257" s="278"/>
      <c r="W2257" s="278"/>
    </row>
    <row r="2258" spans="1:23" s="269" customFormat="1" ht="20.25">
      <c r="A2258" s="267"/>
      <c r="B2258" s="275" t="s">
        <v>2439</v>
      </c>
      <c r="C2258" s="275" t="s">
        <v>3831</v>
      </c>
      <c r="D2258" s="168" t="s">
        <v>8158</v>
      </c>
      <c r="E2258" s="168" t="s">
        <v>1844</v>
      </c>
      <c r="F2258" s="168" t="s">
        <v>4623</v>
      </c>
      <c r="G2258" s="168" t="s">
        <v>4623</v>
      </c>
      <c r="H2258" s="292" t="s">
        <v>4623</v>
      </c>
      <c r="I2258" s="293" t="s">
        <v>4623</v>
      </c>
      <c r="J2258" s="293" t="s">
        <v>4623</v>
      </c>
      <c r="K2258" s="290" t="s">
        <v>4623</v>
      </c>
      <c r="L2258" s="290" t="s">
        <v>4623</v>
      </c>
      <c r="M2258" s="290" t="s">
        <v>4623</v>
      </c>
      <c r="N2258" s="290" t="s">
        <v>4623</v>
      </c>
      <c r="O2258" s="290" t="s">
        <v>4623</v>
      </c>
      <c r="P2258" s="290" t="s">
        <v>999</v>
      </c>
      <c r="Q2258" s="291" t="s">
        <v>4623</v>
      </c>
      <c r="R2258" s="276"/>
      <c r="S2258" s="277">
        <f>IF(OR(C2258="",C2258=T$4),NA(),MATCH($B2258&amp;$C2258,'Smelter Reference List'!$J:$J,0))</f>
        <v>502</v>
      </c>
      <c r="T2258" s="278"/>
      <c r="U2258" s="278"/>
      <c r="V2258" s="278"/>
      <c r="W2258" s="278"/>
    </row>
    <row r="2259" spans="1:23" s="269" customFormat="1" ht="20.25">
      <c r="A2259" s="267"/>
      <c r="B2259" s="275" t="s">
        <v>2439</v>
      </c>
      <c r="C2259" s="275" t="s">
        <v>3831</v>
      </c>
      <c r="D2259" s="168" t="s">
        <v>8159</v>
      </c>
      <c r="E2259" s="168" t="s">
        <v>1844</v>
      </c>
      <c r="F2259" s="168" t="s">
        <v>4623</v>
      </c>
      <c r="G2259" s="168" t="s">
        <v>4623</v>
      </c>
      <c r="H2259" s="292" t="s">
        <v>5033</v>
      </c>
      <c r="I2259" s="293" t="s">
        <v>5033</v>
      </c>
      <c r="J2259" s="293" t="s">
        <v>5033</v>
      </c>
      <c r="K2259" s="290" t="s">
        <v>8160</v>
      </c>
      <c r="L2259" s="290" t="s">
        <v>8161</v>
      </c>
      <c r="M2259" s="290" t="s">
        <v>4623</v>
      </c>
      <c r="N2259" s="290" t="s">
        <v>4623</v>
      </c>
      <c r="O2259" s="290" t="s">
        <v>4623</v>
      </c>
      <c r="P2259" s="290" t="s">
        <v>999</v>
      </c>
      <c r="Q2259" s="291" t="s">
        <v>4623</v>
      </c>
      <c r="R2259" s="276"/>
      <c r="S2259" s="277">
        <f>IF(OR(C2259="",C2259=T$4),NA(),MATCH($B2259&amp;$C2259,'Smelter Reference List'!$J:$J,0))</f>
        <v>502</v>
      </c>
      <c r="T2259" s="278"/>
      <c r="U2259" s="278"/>
      <c r="V2259" s="278"/>
      <c r="W2259" s="278"/>
    </row>
    <row r="2260" spans="1:23" s="269" customFormat="1" ht="20.25">
      <c r="A2260" s="267"/>
      <c r="B2260" s="275" t="s">
        <v>2439</v>
      </c>
      <c r="C2260" s="275" t="s">
        <v>3831</v>
      </c>
      <c r="D2260" s="168" t="s">
        <v>8162</v>
      </c>
      <c r="E2260" s="168" t="s">
        <v>2292</v>
      </c>
      <c r="F2260" s="168" t="s">
        <v>4623</v>
      </c>
      <c r="G2260" s="168" t="s">
        <v>4623</v>
      </c>
      <c r="H2260" s="292" t="s">
        <v>8163</v>
      </c>
      <c r="I2260" s="293" t="s">
        <v>8164</v>
      </c>
      <c r="J2260" s="293" t="s">
        <v>4756</v>
      </c>
      <c r="K2260" s="290" t="s">
        <v>8165</v>
      </c>
      <c r="L2260" s="290" t="s">
        <v>8166</v>
      </c>
      <c r="M2260" s="290" t="s">
        <v>4623</v>
      </c>
      <c r="N2260" s="290" t="s">
        <v>6193</v>
      </c>
      <c r="O2260" s="290" t="s">
        <v>4623</v>
      </c>
      <c r="P2260" s="290" t="s">
        <v>998</v>
      </c>
      <c r="Q2260" s="291" t="s">
        <v>4623</v>
      </c>
      <c r="R2260" s="276"/>
      <c r="S2260" s="277">
        <f>IF(OR(C2260="",C2260=T$4),NA(),MATCH($B2260&amp;$C2260,'Smelter Reference List'!$J:$J,0))</f>
        <v>502</v>
      </c>
      <c r="T2260" s="278"/>
      <c r="U2260" s="278"/>
      <c r="V2260" s="278"/>
      <c r="W2260" s="278"/>
    </row>
    <row r="2261" spans="1:23" s="269" customFormat="1" ht="20.25">
      <c r="A2261" s="267"/>
      <c r="B2261" s="275" t="s">
        <v>2439</v>
      </c>
      <c r="C2261" s="275" t="s">
        <v>3831</v>
      </c>
      <c r="D2261" s="168" t="s">
        <v>8147</v>
      </c>
      <c r="E2261" s="168" t="s">
        <v>1861</v>
      </c>
      <c r="F2261" s="168" t="s">
        <v>4623</v>
      </c>
      <c r="G2261" s="168" t="s">
        <v>4623</v>
      </c>
      <c r="H2261" s="292" t="s">
        <v>4623</v>
      </c>
      <c r="I2261" s="293" t="s">
        <v>4623</v>
      </c>
      <c r="J2261" s="293" t="s">
        <v>4623</v>
      </c>
      <c r="K2261" s="290" t="s">
        <v>4623</v>
      </c>
      <c r="L2261" s="290" t="s">
        <v>4623</v>
      </c>
      <c r="M2261" s="290" t="s">
        <v>4623</v>
      </c>
      <c r="N2261" s="290" t="s">
        <v>4623</v>
      </c>
      <c r="O2261" s="290" t="s">
        <v>4623</v>
      </c>
      <c r="P2261" s="290" t="s">
        <v>999</v>
      </c>
      <c r="Q2261" s="291" t="s">
        <v>4623</v>
      </c>
      <c r="R2261" s="276"/>
      <c r="S2261" s="277">
        <f>IF(OR(C2261="",C2261=T$4),NA(),MATCH($B2261&amp;$C2261,'Smelter Reference List'!$J:$J,0))</f>
        <v>502</v>
      </c>
      <c r="T2261" s="278"/>
      <c r="U2261" s="278"/>
      <c r="V2261" s="278"/>
      <c r="W2261" s="278"/>
    </row>
    <row r="2262" spans="1:23" s="269" customFormat="1" ht="20.25">
      <c r="A2262" s="267"/>
      <c r="B2262" s="275" t="s">
        <v>2439</v>
      </c>
      <c r="C2262" s="275" t="s">
        <v>3831</v>
      </c>
      <c r="D2262" s="168" t="s">
        <v>8167</v>
      </c>
      <c r="E2262" s="168" t="s">
        <v>1861</v>
      </c>
      <c r="F2262" s="168" t="s">
        <v>4623</v>
      </c>
      <c r="G2262" s="168" t="s">
        <v>4623</v>
      </c>
      <c r="H2262" s="292" t="s">
        <v>4623</v>
      </c>
      <c r="I2262" s="293" t="s">
        <v>4623</v>
      </c>
      <c r="J2262" s="293" t="s">
        <v>4623</v>
      </c>
      <c r="K2262" s="290" t="s">
        <v>4623</v>
      </c>
      <c r="L2262" s="290" t="s">
        <v>4623</v>
      </c>
      <c r="M2262" s="290" t="s">
        <v>4623</v>
      </c>
      <c r="N2262" s="290" t="s">
        <v>4623</v>
      </c>
      <c r="O2262" s="290" t="s">
        <v>4623</v>
      </c>
      <c r="P2262" s="290" t="s">
        <v>999</v>
      </c>
      <c r="Q2262" s="291" t="s">
        <v>4623</v>
      </c>
      <c r="R2262" s="276"/>
      <c r="S2262" s="277">
        <f>IF(OR(C2262="",C2262=T$4),NA(),MATCH($B2262&amp;$C2262,'Smelter Reference List'!$J:$J,0))</f>
        <v>502</v>
      </c>
      <c r="T2262" s="278"/>
      <c r="U2262" s="278"/>
      <c r="V2262" s="278"/>
      <c r="W2262" s="278"/>
    </row>
    <row r="2263" spans="1:23" s="269" customFormat="1" ht="20.25">
      <c r="A2263" s="267"/>
      <c r="B2263" s="275" t="s">
        <v>2439</v>
      </c>
      <c r="C2263" s="275" t="s">
        <v>3831</v>
      </c>
      <c r="D2263" s="168" t="s">
        <v>8168</v>
      </c>
      <c r="E2263" s="168" t="s">
        <v>1861</v>
      </c>
      <c r="F2263" s="168" t="s">
        <v>4623</v>
      </c>
      <c r="G2263" s="168" t="s">
        <v>4623</v>
      </c>
      <c r="H2263" s="292" t="s">
        <v>4623</v>
      </c>
      <c r="I2263" s="293" t="s">
        <v>4623</v>
      </c>
      <c r="J2263" s="293" t="s">
        <v>4623</v>
      </c>
      <c r="K2263" s="290" t="s">
        <v>4623</v>
      </c>
      <c r="L2263" s="290" t="s">
        <v>4623</v>
      </c>
      <c r="M2263" s="290" t="s">
        <v>4623</v>
      </c>
      <c r="N2263" s="290" t="s">
        <v>4623</v>
      </c>
      <c r="O2263" s="290" t="s">
        <v>4623</v>
      </c>
      <c r="P2263" s="290" t="s">
        <v>999</v>
      </c>
      <c r="Q2263" s="291" t="s">
        <v>4623</v>
      </c>
      <c r="R2263" s="276"/>
      <c r="S2263" s="277">
        <f>IF(OR(C2263="",C2263=T$4),NA(),MATCH($B2263&amp;$C2263,'Smelter Reference List'!$J:$J,0))</f>
        <v>502</v>
      </c>
      <c r="T2263" s="278"/>
      <c r="U2263" s="278"/>
      <c r="V2263" s="278"/>
      <c r="W2263" s="278"/>
    </row>
    <row r="2264" spans="1:23" s="269" customFormat="1" ht="20.25">
      <c r="A2264" s="267"/>
      <c r="B2264" s="275" t="s">
        <v>2439</v>
      </c>
      <c r="C2264" s="275" t="s">
        <v>3831</v>
      </c>
      <c r="D2264" s="168" t="s">
        <v>8169</v>
      </c>
      <c r="E2264" s="168" t="s">
        <v>1861</v>
      </c>
      <c r="F2264" s="168" t="s">
        <v>4623</v>
      </c>
      <c r="G2264" s="168" t="s">
        <v>4623</v>
      </c>
      <c r="H2264" s="292" t="s">
        <v>4623</v>
      </c>
      <c r="I2264" s="293" t="s">
        <v>4623</v>
      </c>
      <c r="J2264" s="293" t="s">
        <v>4623</v>
      </c>
      <c r="K2264" s="290" t="s">
        <v>4623</v>
      </c>
      <c r="L2264" s="290" t="s">
        <v>4623</v>
      </c>
      <c r="M2264" s="290" t="s">
        <v>4623</v>
      </c>
      <c r="N2264" s="290" t="s">
        <v>4623</v>
      </c>
      <c r="O2264" s="290" t="s">
        <v>4623</v>
      </c>
      <c r="P2264" s="290" t="s">
        <v>999</v>
      </c>
      <c r="Q2264" s="291" t="s">
        <v>4623</v>
      </c>
      <c r="R2264" s="276"/>
      <c r="S2264" s="277">
        <f>IF(OR(C2264="",C2264=T$4),NA(),MATCH($B2264&amp;$C2264,'Smelter Reference List'!$J:$J,0))</f>
        <v>502</v>
      </c>
      <c r="T2264" s="278"/>
      <c r="U2264" s="278"/>
      <c r="V2264" s="278"/>
      <c r="W2264" s="278"/>
    </row>
    <row r="2265" spans="1:23" s="269" customFormat="1" ht="20.25">
      <c r="A2265" s="267"/>
      <c r="B2265" s="275" t="s">
        <v>2439</v>
      </c>
      <c r="C2265" s="275" t="s">
        <v>3831</v>
      </c>
      <c r="D2265" s="168" t="s">
        <v>1907</v>
      </c>
      <c r="E2265" s="168" t="s">
        <v>1861</v>
      </c>
      <c r="F2265" s="168" t="s">
        <v>4623</v>
      </c>
      <c r="G2265" s="168" t="s">
        <v>4623</v>
      </c>
      <c r="H2265" s="292" t="s">
        <v>4623</v>
      </c>
      <c r="I2265" s="293" t="s">
        <v>4623</v>
      </c>
      <c r="J2265" s="293" t="s">
        <v>4623</v>
      </c>
      <c r="K2265" s="290" t="s">
        <v>4623</v>
      </c>
      <c r="L2265" s="290" t="s">
        <v>4623</v>
      </c>
      <c r="M2265" s="290" t="s">
        <v>4623</v>
      </c>
      <c r="N2265" s="290" t="s">
        <v>4623</v>
      </c>
      <c r="O2265" s="290" t="s">
        <v>4623</v>
      </c>
      <c r="P2265" s="290" t="s">
        <v>999</v>
      </c>
      <c r="Q2265" s="291" t="s">
        <v>4623</v>
      </c>
      <c r="R2265" s="276"/>
      <c r="S2265" s="277">
        <f>IF(OR(C2265="",C2265=T$4),NA(),MATCH($B2265&amp;$C2265,'Smelter Reference List'!$J:$J,0))</f>
        <v>502</v>
      </c>
      <c r="T2265" s="278"/>
      <c r="U2265" s="278"/>
      <c r="V2265" s="278"/>
      <c r="W2265" s="278"/>
    </row>
    <row r="2266" spans="1:23" s="269" customFormat="1" ht="20.25">
      <c r="A2266" s="267"/>
      <c r="B2266" s="275" t="s">
        <v>2439</v>
      </c>
      <c r="C2266" s="275" t="s">
        <v>3831</v>
      </c>
      <c r="D2266" s="168" t="s">
        <v>8170</v>
      </c>
      <c r="E2266" s="168" t="s">
        <v>1861</v>
      </c>
      <c r="F2266" s="168" t="s">
        <v>4623</v>
      </c>
      <c r="G2266" s="168" t="s">
        <v>4623</v>
      </c>
      <c r="H2266" s="292" t="s">
        <v>4623</v>
      </c>
      <c r="I2266" s="293" t="s">
        <v>4623</v>
      </c>
      <c r="J2266" s="293" t="s">
        <v>4623</v>
      </c>
      <c r="K2266" s="290" t="s">
        <v>4623</v>
      </c>
      <c r="L2266" s="290" t="s">
        <v>4623</v>
      </c>
      <c r="M2266" s="290" t="s">
        <v>4623</v>
      </c>
      <c r="N2266" s="290" t="s">
        <v>4623</v>
      </c>
      <c r="O2266" s="290" t="s">
        <v>4623</v>
      </c>
      <c r="P2266" s="290" t="s">
        <v>999</v>
      </c>
      <c r="Q2266" s="291" t="s">
        <v>4623</v>
      </c>
      <c r="R2266" s="276"/>
      <c r="S2266" s="277">
        <f>IF(OR(C2266="",C2266=T$4),NA(),MATCH($B2266&amp;$C2266,'Smelter Reference List'!$J:$J,0))</f>
        <v>502</v>
      </c>
      <c r="T2266" s="278"/>
      <c r="U2266" s="278"/>
      <c r="V2266" s="278"/>
      <c r="W2266" s="278"/>
    </row>
    <row r="2267" spans="1:23" s="269" customFormat="1" ht="20.25">
      <c r="A2267" s="267"/>
      <c r="B2267" s="275" t="s">
        <v>2439</v>
      </c>
      <c r="C2267" s="275" t="s">
        <v>3831</v>
      </c>
      <c r="D2267" s="168" t="s">
        <v>8171</v>
      </c>
      <c r="E2267" s="168" t="s">
        <v>1861</v>
      </c>
      <c r="F2267" s="168" t="s">
        <v>4623</v>
      </c>
      <c r="G2267" s="168" t="s">
        <v>4623</v>
      </c>
      <c r="H2267" s="292" t="s">
        <v>4623</v>
      </c>
      <c r="I2267" s="293" t="s">
        <v>7688</v>
      </c>
      <c r="J2267" s="293" t="s">
        <v>4623</v>
      </c>
      <c r="K2267" s="290" t="s">
        <v>4623</v>
      </c>
      <c r="L2267" s="290" t="s">
        <v>4623</v>
      </c>
      <c r="M2267" s="290" t="s">
        <v>4623</v>
      </c>
      <c r="N2267" s="290" t="s">
        <v>4623</v>
      </c>
      <c r="O2267" s="290" t="s">
        <v>4623</v>
      </c>
      <c r="P2267" s="290" t="s">
        <v>999</v>
      </c>
      <c r="Q2267" s="291" t="s">
        <v>4623</v>
      </c>
      <c r="R2267" s="276"/>
      <c r="S2267" s="277">
        <f>IF(OR(C2267="",C2267=T$4),NA(),MATCH($B2267&amp;$C2267,'Smelter Reference List'!$J:$J,0))</f>
        <v>502</v>
      </c>
      <c r="T2267" s="278"/>
      <c r="U2267" s="278"/>
      <c r="V2267" s="278"/>
      <c r="W2267" s="278"/>
    </row>
    <row r="2268" spans="1:23" s="269" customFormat="1" ht="20.25">
      <c r="A2268" s="267"/>
      <c r="B2268" s="275" t="s">
        <v>2439</v>
      </c>
      <c r="C2268" s="275" t="s">
        <v>3831</v>
      </c>
      <c r="D2268" s="168" t="s">
        <v>8172</v>
      </c>
      <c r="E2268" s="168" t="s">
        <v>2329</v>
      </c>
      <c r="F2268" s="168" t="s">
        <v>4623</v>
      </c>
      <c r="G2268" s="168" t="s">
        <v>4623</v>
      </c>
      <c r="H2268" s="292" t="s">
        <v>4623</v>
      </c>
      <c r="I2268" s="293" t="s">
        <v>4623</v>
      </c>
      <c r="J2268" s="293" t="s">
        <v>4623</v>
      </c>
      <c r="K2268" s="290" t="s">
        <v>4623</v>
      </c>
      <c r="L2268" s="290" t="s">
        <v>4623</v>
      </c>
      <c r="M2268" s="290" t="s">
        <v>4623</v>
      </c>
      <c r="N2268" s="290" t="s">
        <v>4623</v>
      </c>
      <c r="O2268" s="290" t="s">
        <v>4623</v>
      </c>
      <c r="P2268" s="290" t="s">
        <v>999</v>
      </c>
      <c r="Q2268" s="291" t="s">
        <v>4623</v>
      </c>
      <c r="R2268" s="276"/>
      <c r="S2268" s="277">
        <f>IF(OR(C2268="",C2268=T$4),NA(),MATCH($B2268&amp;$C2268,'Smelter Reference List'!$J:$J,0))</f>
        <v>502</v>
      </c>
      <c r="T2268" s="278"/>
      <c r="U2268" s="278"/>
      <c r="V2268" s="278"/>
      <c r="W2268" s="278"/>
    </row>
    <row r="2269" spans="1:23" s="269" customFormat="1" ht="20.25">
      <c r="A2269" s="267"/>
      <c r="B2269" s="275" t="s">
        <v>2439</v>
      </c>
      <c r="C2269" s="275" t="s">
        <v>3831</v>
      </c>
      <c r="D2269" s="168" t="s">
        <v>8173</v>
      </c>
      <c r="E2269" s="168" t="s">
        <v>2329</v>
      </c>
      <c r="F2269" s="168" t="s">
        <v>4623</v>
      </c>
      <c r="G2269" s="168" t="s">
        <v>4623</v>
      </c>
      <c r="H2269" s="292" t="s">
        <v>4623</v>
      </c>
      <c r="I2269" s="293" t="s">
        <v>4623</v>
      </c>
      <c r="J2269" s="293" t="s">
        <v>4623</v>
      </c>
      <c r="K2269" s="290" t="s">
        <v>4623</v>
      </c>
      <c r="L2269" s="290" t="s">
        <v>4623</v>
      </c>
      <c r="M2269" s="290" t="s">
        <v>4623</v>
      </c>
      <c r="N2269" s="290" t="s">
        <v>4623</v>
      </c>
      <c r="O2269" s="290" t="s">
        <v>4623</v>
      </c>
      <c r="P2269" s="290" t="s">
        <v>999</v>
      </c>
      <c r="Q2269" s="291" t="s">
        <v>4623</v>
      </c>
      <c r="R2269" s="276"/>
      <c r="S2269" s="277">
        <f>IF(OR(C2269="",C2269=T$4),NA(),MATCH($B2269&amp;$C2269,'Smelter Reference List'!$J:$J,0))</f>
        <v>502</v>
      </c>
      <c r="T2269" s="278"/>
      <c r="U2269" s="278"/>
      <c r="V2269" s="278"/>
      <c r="W2269" s="278"/>
    </row>
    <row r="2270" spans="1:23" s="269" customFormat="1" ht="20.25">
      <c r="A2270" s="267"/>
      <c r="B2270" s="275" t="s">
        <v>2439</v>
      </c>
      <c r="C2270" s="275" t="s">
        <v>3831</v>
      </c>
      <c r="D2270" s="168" t="s">
        <v>8174</v>
      </c>
      <c r="E2270" s="168" t="s">
        <v>2329</v>
      </c>
      <c r="F2270" s="168" t="s">
        <v>4623</v>
      </c>
      <c r="G2270" s="168" t="s">
        <v>4623</v>
      </c>
      <c r="H2270" s="292" t="s">
        <v>4623</v>
      </c>
      <c r="I2270" s="293" t="s">
        <v>4623</v>
      </c>
      <c r="J2270" s="293" t="s">
        <v>4623</v>
      </c>
      <c r="K2270" s="290" t="s">
        <v>4623</v>
      </c>
      <c r="L2270" s="290" t="s">
        <v>4623</v>
      </c>
      <c r="M2270" s="290" t="s">
        <v>4623</v>
      </c>
      <c r="N2270" s="290" t="s">
        <v>4623</v>
      </c>
      <c r="O2270" s="290" t="s">
        <v>4623</v>
      </c>
      <c r="P2270" s="290" t="s">
        <v>999</v>
      </c>
      <c r="Q2270" s="291" t="s">
        <v>4623</v>
      </c>
      <c r="R2270" s="276"/>
      <c r="S2270" s="277">
        <f>IF(OR(C2270="",C2270=T$4),NA(),MATCH($B2270&amp;$C2270,'Smelter Reference List'!$J:$J,0))</f>
        <v>502</v>
      </c>
      <c r="T2270" s="278"/>
      <c r="U2270" s="278"/>
      <c r="V2270" s="278"/>
      <c r="W2270" s="278"/>
    </row>
    <row r="2271" spans="1:23" s="269" customFormat="1" ht="20.25">
      <c r="A2271" s="267"/>
      <c r="B2271" s="275" t="s">
        <v>2439</v>
      </c>
      <c r="C2271" s="275" t="s">
        <v>3831</v>
      </c>
      <c r="D2271" s="168" t="s">
        <v>5903</v>
      </c>
      <c r="E2271" s="168" t="s">
        <v>1867</v>
      </c>
      <c r="F2271" s="168" t="s">
        <v>4623</v>
      </c>
      <c r="G2271" s="168" t="s">
        <v>4623</v>
      </c>
      <c r="H2271" s="292" t="s">
        <v>4623</v>
      </c>
      <c r="I2271" s="293" t="s">
        <v>4623</v>
      </c>
      <c r="J2271" s="293" t="s">
        <v>8175</v>
      </c>
      <c r="K2271" s="290" t="s">
        <v>8176</v>
      </c>
      <c r="L2271" s="290" t="s">
        <v>4623</v>
      </c>
      <c r="M2271" s="290" t="s">
        <v>4623</v>
      </c>
      <c r="N2271" s="290" t="s">
        <v>4623</v>
      </c>
      <c r="O2271" s="290" t="s">
        <v>4623</v>
      </c>
      <c r="P2271" s="290" t="s">
        <v>999</v>
      </c>
      <c r="Q2271" s="291" t="s">
        <v>4623</v>
      </c>
      <c r="R2271" s="276"/>
      <c r="S2271" s="277">
        <f>IF(OR(C2271="",C2271=T$4),NA(),MATCH($B2271&amp;$C2271,'Smelter Reference List'!$J:$J,0))</f>
        <v>502</v>
      </c>
      <c r="T2271" s="278"/>
      <c r="U2271" s="278"/>
      <c r="V2271" s="278"/>
      <c r="W2271" s="278"/>
    </row>
    <row r="2272" spans="1:23" s="269" customFormat="1" ht="20.25">
      <c r="A2272" s="267"/>
      <c r="B2272" s="275" t="s">
        <v>2439</v>
      </c>
      <c r="C2272" s="275" t="s">
        <v>3831</v>
      </c>
      <c r="D2272" s="168" t="s">
        <v>8177</v>
      </c>
      <c r="E2272" s="168" t="s">
        <v>1867</v>
      </c>
      <c r="F2272" s="168" t="s">
        <v>4623</v>
      </c>
      <c r="G2272" s="168" t="s">
        <v>4623</v>
      </c>
      <c r="H2272" s="292" t="s">
        <v>4623</v>
      </c>
      <c r="I2272" s="293" t="s">
        <v>4623</v>
      </c>
      <c r="J2272" s="293" t="s">
        <v>4623</v>
      </c>
      <c r="K2272" s="290" t="s">
        <v>4623</v>
      </c>
      <c r="L2272" s="290" t="s">
        <v>4623</v>
      </c>
      <c r="M2272" s="290" t="s">
        <v>4623</v>
      </c>
      <c r="N2272" s="290" t="s">
        <v>4623</v>
      </c>
      <c r="O2272" s="290" t="s">
        <v>4623</v>
      </c>
      <c r="P2272" s="290" t="s">
        <v>999</v>
      </c>
      <c r="Q2272" s="291" t="s">
        <v>4623</v>
      </c>
      <c r="R2272" s="276"/>
      <c r="S2272" s="277">
        <f>IF(OR(C2272="",C2272=T$4),NA(),MATCH($B2272&amp;$C2272,'Smelter Reference List'!$J:$J,0))</f>
        <v>502</v>
      </c>
      <c r="T2272" s="278"/>
      <c r="U2272" s="278"/>
      <c r="V2272" s="278"/>
      <c r="W2272" s="278"/>
    </row>
    <row r="2273" spans="1:23" s="269" customFormat="1" ht="20.25">
      <c r="A2273" s="267"/>
      <c r="B2273" s="275" t="s">
        <v>2439</v>
      </c>
      <c r="C2273" s="275" t="s">
        <v>3831</v>
      </c>
      <c r="D2273" s="168" t="s">
        <v>8178</v>
      </c>
      <c r="E2273" s="168" t="s">
        <v>1867</v>
      </c>
      <c r="F2273" s="168" t="s">
        <v>4623</v>
      </c>
      <c r="G2273" s="168" t="s">
        <v>4623</v>
      </c>
      <c r="H2273" s="292" t="s">
        <v>8179</v>
      </c>
      <c r="I2273" s="293" t="s">
        <v>4623</v>
      </c>
      <c r="J2273" s="293" t="s">
        <v>4623</v>
      </c>
      <c r="K2273" s="290" t="s">
        <v>4623</v>
      </c>
      <c r="L2273" s="290" t="s">
        <v>4623</v>
      </c>
      <c r="M2273" s="290" t="s">
        <v>4623</v>
      </c>
      <c r="N2273" s="290" t="s">
        <v>4623</v>
      </c>
      <c r="O2273" s="290" t="s">
        <v>4623</v>
      </c>
      <c r="P2273" s="290" t="s">
        <v>999</v>
      </c>
      <c r="Q2273" s="291" t="s">
        <v>4623</v>
      </c>
      <c r="R2273" s="276"/>
      <c r="S2273" s="277">
        <f>IF(OR(C2273="",C2273=T$4),NA(),MATCH($B2273&amp;$C2273,'Smelter Reference List'!$J:$J,0))</f>
        <v>502</v>
      </c>
      <c r="T2273" s="278"/>
      <c r="U2273" s="278"/>
      <c r="V2273" s="278"/>
      <c r="W2273" s="278"/>
    </row>
    <row r="2274" spans="1:23" s="269" customFormat="1" ht="20.25">
      <c r="A2274" s="267"/>
      <c r="B2274" s="275" t="s">
        <v>2439</v>
      </c>
      <c r="C2274" s="275" t="s">
        <v>3831</v>
      </c>
      <c r="D2274" s="168" t="s">
        <v>8180</v>
      </c>
      <c r="E2274" s="168" t="s">
        <v>1867</v>
      </c>
      <c r="F2274" s="168" t="s">
        <v>4623</v>
      </c>
      <c r="G2274" s="168" t="s">
        <v>4623</v>
      </c>
      <c r="H2274" s="292" t="s">
        <v>8181</v>
      </c>
      <c r="I2274" s="293" t="s">
        <v>8182</v>
      </c>
      <c r="J2274" s="293" t="s">
        <v>8183</v>
      </c>
      <c r="K2274" s="290" t="s">
        <v>8184</v>
      </c>
      <c r="L2274" s="290" t="s">
        <v>8185</v>
      </c>
      <c r="M2274" s="290" t="s">
        <v>4623</v>
      </c>
      <c r="N2274" s="290" t="s">
        <v>4623</v>
      </c>
      <c r="O2274" s="290" t="s">
        <v>4623</v>
      </c>
      <c r="P2274" s="290" t="s">
        <v>999</v>
      </c>
      <c r="Q2274" s="291" t="s">
        <v>4623</v>
      </c>
      <c r="R2274" s="276"/>
      <c r="S2274" s="277">
        <f>IF(OR(C2274="",C2274=T$4),NA(),MATCH($B2274&amp;$C2274,'Smelter Reference List'!$J:$J,0))</f>
        <v>502</v>
      </c>
      <c r="T2274" s="278"/>
      <c r="U2274" s="278"/>
      <c r="V2274" s="278"/>
      <c r="W2274" s="278"/>
    </row>
    <row r="2275" spans="1:23" s="269" customFormat="1" ht="20.25">
      <c r="A2275" s="267"/>
      <c r="B2275" s="275" t="s">
        <v>2439</v>
      </c>
      <c r="C2275" s="275" t="s">
        <v>3831</v>
      </c>
      <c r="D2275" s="168" t="s">
        <v>5904</v>
      </c>
      <c r="E2275" s="168" t="s">
        <v>1867</v>
      </c>
      <c r="F2275" s="168" t="s">
        <v>4623</v>
      </c>
      <c r="G2275" s="168" t="s">
        <v>4623</v>
      </c>
      <c r="H2275" s="292" t="s">
        <v>8186</v>
      </c>
      <c r="I2275" s="293" t="s">
        <v>8187</v>
      </c>
      <c r="J2275" s="293" t="s">
        <v>8188</v>
      </c>
      <c r="K2275" s="290" t="s">
        <v>7820</v>
      </c>
      <c r="L2275" s="290" t="s">
        <v>7821</v>
      </c>
      <c r="M2275" s="290" t="s">
        <v>4623</v>
      </c>
      <c r="N2275" s="290" t="s">
        <v>4623</v>
      </c>
      <c r="O2275" s="290" t="s">
        <v>4623</v>
      </c>
      <c r="P2275" s="290" t="s">
        <v>999</v>
      </c>
      <c r="Q2275" s="291" t="s">
        <v>4623</v>
      </c>
      <c r="R2275" s="276"/>
      <c r="S2275" s="277">
        <f>IF(OR(C2275="",C2275=T$4),NA(),MATCH($B2275&amp;$C2275,'Smelter Reference List'!$J:$J,0))</f>
        <v>502</v>
      </c>
      <c r="T2275" s="278"/>
      <c r="U2275" s="278"/>
      <c r="V2275" s="278"/>
      <c r="W2275" s="278"/>
    </row>
    <row r="2276" spans="1:23" s="269" customFormat="1" ht="20.25">
      <c r="A2276" s="267"/>
      <c r="B2276" s="275" t="s">
        <v>2439</v>
      </c>
      <c r="C2276" s="275" t="s">
        <v>3831</v>
      </c>
      <c r="D2276" s="168" t="s">
        <v>8189</v>
      </c>
      <c r="E2276" s="168" t="s">
        <v>1867</v>
      </c>
      <c r="F2276" s="168" t="s">
        <v>4623</v>
      </c>
      <c r="G2276" s="168" t="s">
        <v>4623</v>
      </c>
      <c r="H2276" s="292" t="s">
        <v>7814</v>
      </c>
      <c r="I2276" s="293" t="s">
        <v>3779</v>
      </c>
      <c r="J2276" s="293" t="s">
        <v>3780</v>
      </c>
      <c r="K2276" s="290" t="s">
        <v>4623</v>
      </c>
      <c r="L2276" s="290" t="s">
        <v>4623</v>
      </c>
      <c r="M2276" s="290" t="s">
        <v>4623</v>
      </c>
      <c r="N2276" s="290" t="s">
        <v>6193</v>
      </c>
      <c r="O2276" s="290" t="s">
        <v>8190</v>
      </c>
      <c r="P2276" s="290" t="s">
        <v>999</v>
      </c>
      <c r="Q2276" s="291" t="s">
        <v>4623</v>
      </c>
      <c r="R2276" s="276"/>
      <c r="S2276" s="277">
        <f>IF(OR(C2276="",C2276=T$4),NA(),MATCH($B2276&amp;$C2276,'Smelter Reference List'!$J:$J,0))</f>
        <v>502</v>
      </c>
      <c r="T2276" s="278"/>
      <c r="U2276" s="278"/>
      <c r="V2276" s="278"/>
      <c r="W2276" s="278"/>
    </row>
    <row r="2277" spans="1:23" s="269" customFormat="1" ht="20.25">
      <c r="A2277" s="267"/>
      <c r="B2277" s="275" t="s">
        <v>2439</v>
      </c>
      <c r="C2277" s="275" t="s">
        <v>3831</v>
      </c>
      <c r="D2277" s="168" t="s">
        <v>8191</v>
      </c>
      <c r="E2277" s="168" t="s">
        <v>1867</v>
      </c>
      <c r="F2277" s="168" t="s">
        <v>4623</v>
      </c>
      <c r="G2277" s="168" t="s">
        <v>4623</v>
      </c>
      <c r="H2277" s="292" t="s">
        <v>7814</v>
      </c>
      <c r="I2277" s="293" t="s">
        <v>3779</v>
      </c>
      <c r="J2277" s="293" t="s">
        <v>8192</v>
      </c>
      <c r="K2277" s="290" t="s">
        <v>8193</v>
      </c>
      <c r="L2277" s="290" t="s">
        <v>8194</v>
      </c>
      <c r="M2277" s="290" t="s">
        <v>5000</v>
      </c>
      <c r="N2277" s="290" t="s">
        <v>5000</v>
      </c>
      <c r="O2277" s="290" t="s">
        <v>5000</v>
      </c>
      <c r="P2277" s="290" t="s">
        <v>999</v>
      </c>
      <c r="Q2277" s="291" t="s">
        <v>8195</v>
      </c>
      <c r="R2277" s="276"/>
      <c r="S2277" s="277">
        <f>IF(OR(C2277="",C2277=T$4),NA(),MATCH($B2277&amp;$C2277,'Smelter Reference List'!$J:$J,0))</f>
        <v>502</v>
      </c>
      <c r="T2277" s="278"/>
      <c r="U2277" s="278"/>
      <c r="V2277" s="278"/>
      <c r="W2277" s="278"/>
    </row>
    <row r="2278" spans="1:23" s="269" customFormat="1" ht="20.25">
      <c r="A2278" s="267"/>
      <c r="B2278" s="275" t="s">
        <v>2439</v>
      </c>
      <c r="C2278" s="275" t="s">
        <v>3831</v>
      </c>
      <c r="D2278" s="168" t="s">
        <v>8196</v>
      </c>
      <c r="E2278" s="168" t="s">
        <v>1867</v>
      </c>
      <c r="F2278" s="168" t="s">
        <v>4623</v>
      </c>
      <c r="G2278" s="168" t="s">
        <v>4623</v>
      </c>
      <c r="H2278" s="292" t="s">
        <v>4623</v>
      </c>
      <c r="I2278" s="293" t="s">
        <v>4623</v>
      </c>
      <c r="J2278" s="293" t="s">
        <v>4623</v>
      </c>
      <c r="K2278" s="290" t="s">
        <v>4623</v>
      </c>
      <c r="L2278" s="290" t="s">
        <v>4623</v>
      </c>
      <c r="M2278" s="290" t="s">
        <v>4623</v>
      </c>
      <c r="N2278" s="290" t="s">
        <v>4623</v>
      </c>
      <c r="O2278" s="290" t="s">
        <v>4623</v>
      </c>
      <c r="P2278" s="290" t="s">
        <v>999</v>
      </c>
      <c r="Q2278" s="291" t="s">
        <v>4623</v>
      </c>
      <c r="R2278" s="276"/>
      <c r="S2278" s="277">
        <f>IF(OR(C2278="",C2278=T$4),NA(),MATCH($B2278&amp;$C2278,'Smelter Reference List'!$J:$J,0))</f>
        <v>502</v>
      </c>
      <c r="T2278" s="278"/>
      <c r="U2278" s="278"/>
      <c r="V2278" s="278"/>
      <c r="W2278" s="278"/>
    </row>
    <row r="2279" spans="1:23" s="269" customFormat="1" ht="20.25">
      <c r="A2279" s="267"/>
      <c r="B2279" s="275" t="s">
        <v>2439</v>
      </c>
      <c r="C2279" s="275" t="s">
        <v>3831</v>
      </c>
      <c r="D2279" s="168" t="s">
        <v>8197</v>
      </c>
      <c r="E2279" s="168" t="s">
        <v>1867</v>
      </c>
      <c r="F2279" s="168" t="s">
        <v>4623</v>
      </c>
      <c r="G2279" s="168" t="s">
        <v>4623</v>
      </c>
      <c r="H2279" s="292" t="s">
        <v>4623</v>
      </c>
      <c r="I2279" s="293" t="s">
        <v>8198</v>
      </c>
      <c r="J2279" s="293" t="s">
        <v>8199</v>
      </c>
      <c r="K2279" s="290" t="s">
        <v>4623</v>
      </c>
      <c r="L2279" s="290" t="s">
        <v>4623</v>
      </c>
      <c r="M2279" s="290" t="s">
        <v>4623</v>
      </c>
      <c r="N2279" s="290" t="s">
        <v>4623</v>
      </c>
      <c r="O2279" s="290" t="s">
        <v>4623</v>
      </c>
      <c r="P2279" s="290" t="s">
        <v>999</v>
      </c>
      <c r="Q2279" s="291" t="s">
        <v>4623</v>
      </c>
      <c r="R2279" s="276"/>
      <c r="S2279" s="277">
        <f>IF(OR(C2279="",C2279=T$4),NA(),MATCH($B2279&amp;$C2279,'Smelter Reference List'!$J:$J,0))</f>
        <v>502</v>
      </c>
      <c r="T2279" s="278"/>
      <c r="U2279" s="278"/>
      <c r="V2279" s="278"/>
      <c r="W2279" s="278"/>
    </row>
    <row r="2280" spans="1:23" s="269" customFormat="1" ht="20.25">
      <c r="A2280" s="267"/>
      <c r="B2280" s="275" t="s">
        <v>2439</v>
      </c>
      <c r="C2280" s="275" t="s">
        <v>3831</v>
      </c>
      <c r="D2280" s="168" t="s">
        <v>8200</v>
      </c>
      <c r="E2280" s="168" t="s">
        <v>1867</v>
      </c>
      <c r="F2280" s="168" t="s">
        <v>4623</v>
      </c>
      <c r="G2280" s="168" t="s">
        <v>4623</v>
      </c>
      <c r="H2280" s="292" t="s">
        <v>4623</v>
      </c>
      <c r="I2280" s="293" t="s">
        <v>4623</v>
      </c>
      <c r="J2280" s="293" t="s">
        <v>4623</v>
      </c>
      <c r="K2280" s="290" t="s">
        <v>4623</v>
      </c>
      <c r="L2280" s="290" t="s">
        <v>4623</v>
      </c>
      <c r="M2280" s="290" t="s">
        <v>4623</v>
      </c>
      <c r="N2280" s="290" t="s">
        <v>4623</v>
      </c>
      <c r="O2280" s="290" t="s">
        <v>4623</v>
      </c>
      <c r="P2280" s="290" t="s">
        <v>999</v>
      </c>
      <c r="Q2280" s="291" t="s">
        <v>4623</v>
      </c>
      <c r="R2280" s="276"/>
      <c r="S2280" s="277">
        <f>IF(OR(C2280="",C2280=T$4),NA(),MATCH($B2280&amp;$C2280,'Smelter Reference List'!$J:$J,0))</f>
        <v>502</v>
      </c>
      <c r="T2280" s="278"/>
      <c r="U2280" s="278"/>
      <c r="V2280" s="278"/>
      <c r="W2280" s="278"/>
    </row>
    <row r="2281" spans="1:23" s="269" customFormat="1" ht="20.25">
      <c r="A2281" s="267"/>
      <c r="B2281" s="275" t="s">
        <v>2439</v>
      </c>
      <c r="C2281" s="275" t="s">
        <v>3831</v>
      </c>
      <c r="D2281" s="168" t="s">
        <v>8201</v>
      </c>
      <c r="E2281" s="168" t="s">
        <v>1867</v>
      </c>
      <c r="F2281" s="168" t="s">
        <v>4623</v>
      </c>
      <c r="G2281" s="168" t="s">
        <v>4623</v>
      </c>
      <c r="H2281" s="292" t="s">
        <v>4623</v>
      </c>
      <c r="I2281" s="293" t="s">
        <v>4623</v>
      </c>
      <c r="J2281" s="293" t="s">
        <v>4623</v>
      </c>
      <c r="K2281" s="290" t="s">
        <v>4623</v>
      </c>
      <c r="L2281" s="290" t="s">
        <v>4623</v>
      </c>
      <c r="M2281" s="290" t="s">
        <v>4623</v>
      </c>
      <c r="N2281" s="290" t="s">
        <v>4623</v>
      </c>
      <c r="O2281" s="290" t="s">
        <v>4623</v>
      </c>
      <c r="P2281" s="290" t="s">
        <v>999</v>
      </c>
      <c r="Q2281" s="291" t="s">
        <v>4623</v>
      </c>
      <c r="R2281" s="276"/>
      <c r="S2281" s="277">
        <f>IF(OR(C2281="",C2281=T$4),NA(),MATCH($B2281&amp;$C2281,'Smelter Reference List'!$J:$J,0))</f>
        <v>502</v>
      </c>
      <c r="T2281" s="278"/>
      <c r="U2281" s="278"/>
      <c r="V2281" s="278"/>
      <c r="W2281" s="278"/>
    </row>
    <row r="2282" spans="1:23" s="269" customFormat="1" ht="20.25">
      <c r="A2282" s="267"/>
      <c r="B2282" s="275" t="s">
        <v>2439</v>
      </c>
      <c r="C2282" s="275" t="s">
        <v>3831</v>
      </c>
      <c r="D2282" s="168" t="s">
        <v>5914</v>
      </c>
      <c r="E2282" s="168" t="s">
        <v>1867</v>
      </c>
      <c r="F2282" s="168" t="s">
        <v>4623</v>
      </c>
      <c r="G2282" s="168" t="s">
        <v>4623</v>
      </c>
      <c r="H2282" s="292" t="s">
        <v>8202</v>
      </c>
      <c r="I2282" s="293" t="s">
        <v>8203</v>
      </c>
      <c r="J2282" s="293" t="s">
        <v>8204</v>
      </c>
      <c r="K2282" s="290" t="s">
        <v>8205</v>
      </c>
      <c r="L2282" s="290" t="s">
        <v>8206</v>
      </c>
      <c r="M2282" s="290" t="s">
        <v>4623</v>
      </c>
      <c r="N2282" s="290" t="s">
        <v>4623</v>
      </c>
      <c r="O2282" s="290" t="s">
        <v>4623</v>
      </c>
      <c r="P2282" s="290" t="s">
        <v>999</v>
      </c>
      <c r="Q2282" s="291" t="s">
        <v>4623</v>
      </c>
      <c r="R2282" s="276"/>
      <c r="S2282" s="277">
        <f>IF(OR(C2282="",C2282=T$4),NA(),MATCH($B2282&amp;$C2282,'Smelter Reference List'!$J:$J,0))</f>
        <v>502</v>
      </c>
      <c r="T2282" s="278"/>
      <c r="U2282" s="278"/>
      <c r="V2282" s="278"/>
      <c r="W2282" s="278"/>
    </row>
    <row r="2283" spans="1:23" s="269" customFormat="1" ht="20.25">
      <c r="A2283" s="267"/>
      <c r="B2283" s="275" t="s">
        <v>2439</v>
      </c>
      <c r="C2283" s="275" t="s">
        <v>3831</v>
      </c>
      <c r="D2283" s="168" t="s">
        <v>8207</v>
      </c>
      <c r="E2283" s="168" t="s">
        <v>1867</v>
      </c>
      <c r="F2283" s="168" t="s">
        <v>4623</v>
      </c>
      <c r="G2283" s="168" t="s">
        <v>4623</v>
      </c>
      <c r="H2283" s="292" t="s">
        <v>4623</v>
      </c>
      <c r="I2283" s="293" t="s">
        <v>4623</v>
      </c>
      <c r="J2283" s="293" t="s">
        <v>4623</v>
      </c>
      <c r="K2283" s="290" t="s">
        <v>4623</v>
      </c>
      <c r="L2283" s="290" t="s">
        <v>4623</v>
      </c>
      <c r="M2283" s="290" t="s">
        <v>4623</v>
      </c>
      <c r="N2283" s="290" t="s">
        <v>4623</v>
      </c>
      <c r="O2283" s="290" t="s">
        <v>4623</v>
      </c>
      <c r="P2283" s="290" t="s">
        <v>999</v>
      </c>
      <c r="Q2283" s="291" t="s">
        <v>4623</v>
      </c>
      <c r="R2283" s="276"/>
      <c r="S2283" s="277">
        <f>IF(OR(C2283="",C2283=T$4),NA(),MATCH($B2283&amp;$C2283,'Smelter Reference List'!$J:$J,0))</f>
        <v>502</v>
      </c>
      <c r="T2283" s="278"/>
      <c r="U2283" s="278"/>
      <c r="V2283" s="278"/>
      <c r="W2283" s="278"/>
    </row>
    <row r="2284" spans="1:23" s="269" customFormat="1" ht="20.25">
      <c r="A2284" s="267"/>
      <c r="B2284" s="275" t="s">
        <v>2439</v>
      </c>
      <c r="C2284" s="275" t="s">
        <v>3831</v>
      </c>
      <c r="D2284" s="168" t="s">
        <v>8208</v>
      </c>
      <c r="E2284" s="168" t="s">
        <v>1867</v>
      </c>
      <c r="F2284" s="168" t="s">
        <v>4623</v>
      </c>
      <c r="G2284" s="168" t="s">
        <v>4623</v>
      </c>
      <c r="H2284" s="292" t="s">
        <v>4623</v>
      </c>
      <c r="I2284" s="293" t="s">
        <v>4623</v>
      </c>
      <c r="J2284" s="293" t="s">
        <v>4623</v>
      </c>
      <c r="K2284" s="290" t="s">
        <v>4623</v>
      </c>
      <c r="L2284" s="290" t="s">
        <v>4623</v>
      </c>
      <c r="M2284" s="290" t="s">
        <v>4623</v>
      </c>
      <c r="N2284" s="290" t="s">
        <v>4623</v>
      </c>
      <c r="O2284" s="290" t="s">
        <v>4623</v>
      </c>
      <c r="P2284" s="290" t="s">
        <v>999</v>
      </c>
      <c r="Q2284" s="291" t="s">
        <v>4623</v>
      </c>
      <c r="R2284" s="276"/>
      <c r="S2284" s="277">
        <f>IF(OR(C2284="",C2284=T$4),NA(),MATCH($B2284&amp;$C2284,'Smelter Reference List'!$J:$J,0))</f>
        <v>502</v>
      </c>
      <c r="T2284" s="278"/>
      <c r="U2284" s="278"/>
      <c r="V2284" s="278"/>
      <c r="W2284" s="278"/>
    </row>
    <row r="2285" spans="1:23" s="269" customFormat="1" ht="20.25">
      <c r="A2285" s="267"/>
      <c r="B2285" s="275" t="s">
        <v>2439</v>
      </c>
      <c r="C2285" s="275" t="s">
        <v>3831</v>
      </c>
      <c r="D2285" s="168" t="s">
        <v>8209</v>
      </c>
      <c r="E2285" s="168" t="s">
        <v>1867</v>
      </c>
      <c r="F2285" s="168" t="s">
        <v>4623</v>
      </c>
      <c r="G2285" s="168" t="s">
        <v>4623</v>
      </c>
      <c r="H2285" s="292" t="s">
        <v>4623</v>
      </c>
      <c r="I2285" s="293" t="s">
        <v>4623</v>
      </c>
      <c r="J2285" s="293" t="s">
        <v>4623</v>
      </c>
      <c r="K2285" s="290" t="s">
        <v>4623</v>
      </c>
      <c r="L2285" s="290" t="s">
        <v>4623</v>
      </c>
      <c r="M2285" s="290" t="s">
        <v>4623</v>
      </c>
      <c r="N2285" s="290" t="s">
        <v>4623</v>
      </c>
      <c r="O2285" s="290" t="s">
        <v>4623</v>
      </c>
      <c r="P2285" s="290" t="s">
        <v>999</v>
      </c>
      <c r="Q2285" s="291" t="s">
        <v>4623</v>
      </c>
      <c r="R2285" s="276"/>
      <c r="S2285" s="277">
        <f>IF(OR(C2285="",C2285=T$4),NA(),MATCH($B2285&amp;$C2285,'Smelter Reference List'!$J:$J,0))</f>
        <v>502</v>
      </c>
      <c r="T2285" s="278"/>
      <c r="U2285" s="278"/>
      <c r="V2285" s="278"/>
      <c r="W2285" s="278"/>
    </row>
    <row r="2286" spans="1:23" s="269" customFormat="1" ht="20.25">
      <c r="A2286" s="267"/>
      <c r="B2286" s="275" t="s">
        <v>2439</v>
      </c>
      <c r="C2286" s="275" t="s">
        <v>3831</v>
      </c>
      <c r="D2286" s="168" t="s">
        <v>8210</v>
      </c>
      <c r="E2286" s="168" t="s">
        <v>1867</v>
      </c>
      <c r="F2286" s="168" t="s">
        <v>4623</v>
      </c>
      <c r="G2286" s="168" t="s">
        <v>4623</v>
      </c>
      <c r="H2286" s="292" t="s">
        <v>3637</v>
      </c>
      <c r="I2286" s="293" t="s">
        <v>8211</v>
      </c>
      <c r="J2286" s="293" t="s">
        <v>4623</v>
      </c>
      <c r="K2286" s="290" t="s">
        <v>4623</v>
      </c>
      <c r="L2286" s="290" t="s">
        <v>999</v>
      </c>
      <c r="M2286" s="290" t="s">
        <v>999</v>
      </c>
      <c r="N2286" s="290" t="s">
        <v>6220</v>
      </c>
      <c r="O2286" s="290" t="s">
        <v>4623</v>
      </c>
      <c r="P2286" s="290" t="s">
        <v>999</v>
      </c>
      <c r="Q2286" s="291" t="s">
        <v>4623</v>
      </c>
      <c r="R2286" s="276"/>
      <c r="S2286" s="277">
        <f>IF(OR(C2286="",C2286=T$4),NA(),MATCH($B2286&amp;$C2286,'Smelter Reference List'!$J:$J,0))</f>
        <v>502</v>
      </c>
      <c r="T2286" s="278"/>
      <c r="U2286" s="278"/>
      <c r="V2286" s="278"/>
      <c r="W2286" s="278"/>
    </row>
    <row r="2287" spans="1:23" s="269" customFormat="1" ht="20.25">
      <c r="A2287" s="267"/>
      <c r="B2287" s="275" t="s">
        <v>2439</v>
      </c>
      <c r="C2287" s="275" t="s">
        <v>3831</v>
      </c>
      <c r="D2287" s="168" t="s">
        <v>2423</v>
      </c>
      <c r="E2287" s="168" t="s">
        <v>1867</v>
      </c>
      <c r="F2287" s="168" t="s">
        <v>4623</v>
      </c>
      <c r="G2287" s="168" t="s">
        <v>4623</v>
      </c>
      <c r="H2287" s="292" t="s">
        <v>4623</v>
      </c>
      <c r="I2287" s="293" t="s">
        <v>4623</v>
      </c>
      <c r="J2287" s="293" t="s">
        <v>4623</v>
      </c>
      <c r="K2287" s="290" t="s">
        <v>4623</v>
      </c>
      <c r="L2287" s="290" t="s">
        <v>4623</v>
      </c>
      <c r="M2287" s="290" t="s">
        <v>4623</v>
      </c>
      <c r="N2287" s="290" t="s">
        <v>4623</v>
      </c>
      <c r="O2287" s="290" t="s">
        <v>4623</v>
      </c>
      <c r="P2287" s="290" t="s">
        <v>999</v>
      </c>
      <c r="Q2287" s="291" t="s">
        <v>4623</v>
      </c>
      <c r="R2287" s="276"/>
      <c r="S2287" s="277">
        <f>IF(OR(C2287="",C2287=T$4),NA(),MATCH($B2287&amp;$C2287,'Smelter Reference List'!$J:$J,0))</f>
        <v>502</v>
      </c>
      <c r="T2287" s="278"/>
      <c r="U2287" s="278"/>
      <c r="V2287" s="278"/>
      <c r="W2287" s="278"/>
    </row>
    <row r="2288" spans="1:23" s="269" customFormat="1" ht="20.25">
      <c r="A2288" s="267"/>
      <c r="B2288" s="275" t="s">
        <v>2439</v>
      </c>
      <c r="C2288" s="275" t="s">
        <v>3831</v>
      </c>
      <c r="D2288" s="168" t="s">
        <v>6234</v>
      </c>
      <c r="E2288" s="168" t="s">
        <v>1867</v>
      </c>
      <c r="F2288" s="168" t="s">
        <v>4623</v>
      </c>
      <c r="G2288" s="168" t="s">
        <v>4623</v>
      </c>
      <c r="H2288" s="292" t="s">
        <v>6235</v>
      </c>
      <c r="I2288" s="293" t="s">
        <v>6236</v>
      </c>
      <c r="J2288" s="293" t="s">
        <v>6237</v>
      </c>
      <c r="K2288" s="290" t="s">
        <v>6238</v>
      </c>
      <c r="L2288" s="290" t="s">
        <v>6239</v>
      </c>
      <c r="M2288" s="290" t="s">
        <v>4623</v>
      </c>
      <c r="N2288" s="290" t="s">
        <v>4623</v>
      </c>
      <c r="O2288" s="290" t="s">
        <v>4623</v>
      </c>
      <c r="P2288" s="290" t="s">
        <v>999</v>
      </c>
      <c r="Q2288" s="291" t="s">
        <v>4623</v>
      </c>
      <c r="R2288" s="276"/>
      <c r="S2288" s="277">
        <f>IF(OR(C2288="",C2288=T$4),NA(),MATCH($B2288&amp;$C2288,'Smelter Reference List'!$J:$J,0))</f>
        <v>502</v>
      </c>
      <c r="T2288" s="278"/>
      <c r="U2288" s="278"/>
      <c r="V2288" s="278"/>
      <c r="W2288" s="278"/>
    </row>
    <row r="2289" spans="1:23" s="269" customFormat="1" ht="20.25">
      <c r="A2289" s="267"/>
      <c r="B2289" s="275" t="s">
        <v>2439</v>
      </c>
      <c r="C2289" s="275" t="s">
        <v>3831</v>
      </c>
      <c r="D2289" s="168" t="s">
        <v>1901</v>
      </c>
      <c r="E2289" s="168" t="s">
        <v>1867</v>
      </c>
      <c r="F2289" s="168" t="s">
        <v>4623</v>
      </c>
      <c r="G2289" s="168" t="s">
        <v>4623</v>
      </c>
      <c r="H2289" s="292" t="s">
        <v>4623</v>
      </c>
      <c r="I2289" s="293" t="s">
        <v>4623</v>
      </c>
      <c r="J2289" s="293" t="s">
        <v>4623</v>
      </c>
      <c r="K2289" s="290" t="s">
        <v>4623</v>
      </c>
      <c r="L2289" s="290" t="s">
        <v>4623</v>
      </c>
      <c r="M2289" s="290" t="s">
        <v>4623</v>
      </c>
      <c r="N2289" s="290" t="s">
        <v>4623</v>
      </c>
      <c r="O2289" s="290" t="s">
        <v>4623</v>
      </c>
      <c r="P2289" s="290" t="s">
        <v>999</v>
      </c>
      <c r="Q2289" s="291" t="s">
        <v>4623</v>
      </c>
      <c r="R2289" s="276"/>
      <c r="S2289" s="277">
        <f>IF(OR(C2289="",C2289=T$4),NA(),MATCH($B2289&amp;$C2289,'Smelter Reference List'!$J:$J,0))</f>
        <v>502</v>
      </c>
      <c r="T2289" s="278"/>
      <c r="U2289" s="278"/>
      <c r="V2289" s="278"/>
      <c r="W2289" s="278"/>
    </row>
    <row r="2290" spans="1:23" s="269" customFormat="1" ht="20.25">
      <c r="A2290" s="267"/>
      <c r="B2290" s="275" t="s">
        <v>2439</v>
      </c>
      <c r="C2290" s="275" t="s">
        <v>3831</v>
      </c>
      <c r="D2290" s="168" t="s">
        <v>8212</v>
      </c>
      <c r="E2290" s="168" t="s">
        <v>1867</v>
      </c>
      <c r="F2290" s="168" t="s">
        <v>4623</v>
      </c>
      <c r="G2290" s="168" t="s">
        <v>4623</v>
      </c>
      <c r="H2290" s="292" t="s">
        <v>4623</v>
      </c>
      <c r="I2290" s="293" t="s">
        <v>8213</v>
      </c>
      <c r="J2290" s="293" t="s">
        <v>5960</v>
      </c>
      <c r="K2290" s="290" t="s">
        <v>4623</v>
      </c>
      <c r="L2290" s="290" t="s">
        <v>4623</v>
      </c>
      <c r="M2290" s="290" t="s">
        <v>4623</v>
      </c>
      <c r="N2290" s="290" t="s">
        <v>4623</v>
      </c>
      <c r="O2290" s="290" t="s">
        <v>4623</v>
      </c>
      <c r="P2290" s="290" t="s">
        <v>999</v>
      </c>
      <c r="Q2290" s="291" t="s">
        <v>4623</v>
      </c>
      <c r="R2290" s="276"/>
      <c r="S2290" s="277">
        <f>IF(OR(C2290="",C2290=T$4),NA(),MATCH($B2290&amp;$C2290,'Smelter Reference List'!$J:$J,0))</f>
        <v>502</v>
      </c>
      <c r="T2290" s="278"/>
      <c r="U2290" s="278"/>
      <c r="V2290" s="278"/>
      <c r="W2290" s="278"/>
    </row>
    <row r="2291" spans="1:23" s="269" customFormat="1" ht="20.25">
      <c r="A2291" s="267"/>
      <c r="B2291" s="275" t="s">
        <v>2439</v>
      </c>
      <c r="C2291" s="275" t="s">
        <v>3831</v>
      </c>
      <c r="D2291" s="168" t="s">
        <v>6243</v>
      </c>
      <c r="E2291" s="168" t="s">
        <v>1867</v>
      </c>
      <c r="F2291" s="168" t="s">
        <v>4623</v>
      </c>
      <c r="G2291" s="168" t="s">
        <v>4623</v>
      </c>
      <c r="H2291" s="292" t="s">
        <v>4623</v>
      </c>
      <c r="I2291" s="293" t="s">
        <v>4623</v>
      </c>
      <c r="J2291" s="293" t="s">
        <v>5033</v>
      </c>
      <c r="K2291" s="290" t="s">
        <v>4623</v>
      </c>
      <c r="L2291" s="290" t="s">
        <v>4623</v>
      </c>
      <c r="M2291" s="290" t="s">
        <v>4623</v>
      </c>
      <c r="N2291" s="290" t="s">
        <v>4623</v>
      </c>
      <c r="O2291" s="290" t="s">
        <v>4623</v>
      </c>
      <c r="P2291" s="290" t="s">
        <v>999</v>
      </c>
      <c r="Q2291" s="291" t="s">
        <v>4623</v>
      </c>
      <c r="R2291" s="276"/>
      <c r="S2291" s="277">
        <f>IF(OR(C2291="",C2291=T$4),NA(),MATCH($B2291&amp;$C2291,'Smelter Reference List'!$J:$J,0))</f>
        <v>502</v>
      </c>
      <c r="T2291" s="278"/>
      <c r="U2291" s="278"/>
      <c r="V2291" s="278"/>
      <c r="W2291" s="278"/>
    </row>
    <row r="2292" spans="1:23" s="269" customFormat="1" ht="20.25">
      <c r="A2292" s="267"/>
      <c r="B2292" s="275" t="s">
        <v>2439</v>
      </c>
      <c r="C2292" s="275" t="s">
        <v>3831</v>
      </c>
      <c r="D2292" s="168" t="s">
        <v>8214</v>
      </c>
      <c r="E2292" s="168" t="s">
        <v>1867</v>
      </c>
      <c r="F2292" s="168" t="s">
        <v>4623</v>
      </c>
      <c r="G2292" s="168" t="s">
        <v>4623</v>
      </c>
      <c r="H2292" s="292" t="s">
        <v>4623</v>
      </c>
      <c r="I2292" s="293" t="s">
        <v>8215</v>
      </c>
      <c r="J2292" s="293" t="s">
        <v>8216</v>
      </c>
      <c r="K2292" s="290" t="s">
        <v>4623</v>
      </c>
      <c r="L2292" s="290" t="s">
        <v>4623</v>
      </c>
      <c r="M2292" s="290" t="s">
        <v>4623</v>
      </c>
      <c r="N2292" s="290" t="s">
        <v>4623</v>
      </c>
      <c r="O2292" s="290" t="s">
        <v>4623</v>
      </c>
      <c r="P2292" s="290" t="s">
        <v>999</v>
      </c>
      <c r="Q2292" s="291" t="s">
        <v>4623</v>
      </c>
      <c r="R2292" s="276"/>
      <c r="S2292" s="277">
        <f>IF(OR(C2292="",C2292=T$4),NA(),MATCH($B2292&amp;$C2292,'Smelter Reference List'!$J:$J,0))</f>
        <v>502</v>
      </c>
      <c r="T2292" s="278"/>
      <c r="U2292" s="278"/>
      <c r="V2292" s="278"/>
      <c r="W2292" s="278"/>
    </row>
    <row r="2293" spans="1:23" s="269" customFormat="1" ht="20.25">
      <c r="A2293" s="267"/>
      <c r="B2293" s="275" t="s">
        <v>2439</v>
      </c>
      <c r="C2293" s="275" t="s">
        <v>3831</v>
      </c>
      <c r="D2293" s="168" t="s">
        <v>8217</v>
      </c>
      <c r="E2293" s="168" t="s">
        <v>1867</v>
      </c>
      <c r="F2293" s="168" t="s">
        <v>4623</v>
      </c>
      <c r="G2293" s="168" t="s">
        <v>4623</v>
      </c>
      <c r="H2293" s="292" t="s">
        <v>8218</v>
      </c>
      <c r="I2293" s="293" t="s">
        <v>8219</v>
      </c>
      <c r="J2293" s="293" t="s">
        <v>8220</v>
      </c>
      <c r="K2293" s="290" t="s">
        <v>8221</v>
      </c>
      <c r="L2293" s="290" t="s">
        <v>8222</v>
      </c>
      <c r="M2293" s="290" t="s">
        <v>4623</v>
      </c>
      <c r="N2293" s="290" t="s">
        <v>4623</v>
      </c>
      <c r="O2293" s="290" t="s">
        <v>4623</v>
      </c>
      <c r="P2293" s="290" t="s">
        <v>999</v>
      </c>
      <c r="Q2293" s="291" t="s">
        <v>4623</v>
      </c>
      <c r="R2293" s="276"/>
      <c r="S2293" s="277">
        <f>IF(OR(C2293="",C2293=T$4),NA(),MATCH($B2293&amp;$C2293,'Smelter Reference List'!$J:$J,0))</f>
        <v>502</v>
      </c>
      <c r="T2293" s="278"/>
      <c r="U2293" s="278"/>
      <c r="V2293" s="278"/>
      <c r="W2293" s="278"/>
    </row>
    <row r="2294" spans="1:23" s="269" customFormat="1" ht="20.25">
      <c r="A2294" s="267"/>
      <c r="B2294" s="275" t="s">
        <v>2439</v>
      </c>
      <c r="C2294" s="275" t="s">
        <v>3831</v>
      </c>
      <c r="D2294" s="168" t="s">
        <v>8223</v>
      </c>
      <c r="E2294" s="168" t="s">
        <v>1867</v>
      </c>
      <c r="F2294" s="168" t="s">
        <v>4623</v>
      </c>
      <c r="G2294" s="168" t="s">
        <v>4623</v>
      </c>
      <c r="H2294" s="292" t="s">
        <v>8224</v>
      </c>
      <c r="I2294" s="293" t="s">
        <v>8225</v>
      </c>
      <c r="J2294" s="293" t="s">
        <v>8226</v>
      </c>
      <c r="K2294" s="290" t="s">
        <v>4623</v>
      </c>
      <c r="L2294" s="290" t="s">
        <v>4623</v>
      </c>
      <c r="M2294" s="290" t="s">
        <v>8227</v>
      </c>
      <c r="N2294" s="290" t="s">
        <v>4623</v>
      </c>
      <c r="O2294" s="290" t="s">
        <v>8228</v>
      </c>
      <c r="P2294" s="290" t="s">
        <v>999</v>
      </c>
      <c r="Q2294" s="291" t="s">
        <v>4623</v>
      </c>
      <c r="R2294" s="276"/>
      <c r="S2294" s="277">
        <f>IF(OR(C2294="",C2294=T$4),NA(),MATCH($B2294&amp;$C2294,'Smelter Reference List'!$J:$J,0))</f>
        <v>502</v>
      </c>
      <c r="T2294" s="278"/>
      <c r="U2294" s="278"/>
      <c r="V2294" s="278"/>
      <c r="W2294" s="278"/>
    </row>
    <row r="2295" spans="1:23" s="269" customFormat="1" ht="20.25">
      <c r="A2295" s="267"/>
      <c r="B2295" s="275" t="s">
        <v>2439</v>
      </c>
      <c r="C2295" s="275" t="s">
        <v>3831</v>
      </c>
      <c r="D2295" s="168" t="s">
        <v>8229</v>
      </c>
      <c r="E2295" s="168" t="s">
        <v>1867</v>
      </c>
      <c r="F2295" s="168" t="s">
        <v>4623</v>
      </c>
      <c r="G2295" s="168" t="s">
        <v>4623</v>
      </c>
      <c r="H2295" s="292" t="s">
        <v>4623</v>
      </c>
      <c r="I2295" s="293" t="s">
        <v>4623</v>
      </c>
      <c r="J2295" s="293" t="s">
        <v>4623</v>
      </c>
      <c r="K2295" s="290" t="s">
        <v>4623</v>
      </c>
      <c r="L2295" s="290" t="s">
        <v>4623</v>
      </c>
      <c r="M2295" s="290" t="s">
        <v>4623</v>
      </c>
      <c r="N2295" s="290" t="s">
        <v>4623</v>
      </c>
      <c r="O2295" s="290" t="s">
        <v>4623</v>
      </c>
      <c r="P2295" s="290" t="s">
        <v>999</v>
      </c>
      <c r="Q2295" s="291" t="s">
        <v>4623</v>
      </c>
      <c r="R2295" s="276"/>
      <c r="S2295" s="277">
        <f>IF(OR(C2295="",C2295=T$4),NA(),MATCH($B2295&amp;$C2295,'Smelter Reference List'!$J:$J,0))</f>
        <v>502</v>
      </c>
      <c r="T2295" s="278"/>
      <c r="U2295" s="278"/>
      <c r="V2295" s="278"/>
      <c r="W2295" s="278"/>
    </row>
    <row r="2296" spans="1:23" s="269" customFormat="1" ht="20.25">
      <c r="A2296" s="267"/>
      <c r="B2296" s="275" t="s">
        <v>2439</v>
      </c>
      <c r="C2296" s="275" t="s">
        <v>3831</v>
      </c>
      <c r="D2296" s="168" t="s">
        <v>5964</v>
      </c>
      <c r="E2296" s="168" t="s">
        <v>1867</v>
      </c>
      <c r="F2296" s="168" t="s">
        <v>4623</v>
      </c>
      <c r="G2296" s="168" t="s">
        <v>4623</v>
      </c>
      <c r="H2296" s="292" t="s">
        <v>4623</v>
      </c>
      <c r="I2296" s="293" t="s">
        <v>4623</v>
      </c>
      <c r="J2296" s="293" t="s">
        <v>4623</v>
      </c>
      <c r="K2296" s="290" t="s">
        <v>4623</v>
      </c>
      <c r="L2296" s="290" t="s">
        <v>4623</v>
      </c>
      <c r="M2296" s="290" t="s">
        <v>4623</v>
      </c>
      <c r="N2296" s="290" t="s">
        <v>4623</v>
      </c>
      <c r="O2296" s="290" t="s">
        <v>4623</v>
      </c>
      <c r="P2296" s="290" t="s">
        <v>999</v>
      </c>
      <c r="Q2296" s="291" t="s">
        <v>4623</v>
      </c>
      <c r="R2296" s="276"/>
      <c r="S2296" s="277">
        <f>IF(OR(C2296="",C2296=T$4),NA(),MATCH($B2296&amp;$C2296,'Smelter Reference List'!$J:$J,0))</f>
        <v>502</v>
      </c>
      <c r="T2296" s="278"/>
      <c r="U2296" s="278"/>
      <c r="V2296" s="278"/>
      <c r="W2296" s="278"/>
    </row>
    <row r="2297" spans="1:23" s="269" customFormat="1" ht="20.25">
      <c r="A2297" s="267"/>
      <c r="B2297" s="275" t="s">
        <v>2439</v>
      </c>
      <c r="C2297" s="275" t="s">
        <v>3831</v>
      </c>
      <c r="D2297" s="168" t="s">
        <v>8230</v>
      </c>
      <c r="E2297" s="168" t="s">
        <v>1867</v>
      </c>
      <c r="F2297" s="168" t="s">
        <v>4623</v>
      </c>
      <c r="G2297" s="168" t="s">
        <v>4623</v>
      </c>
      <c r="H2297" s="292" t="s">
        <v>4623</v>
      </c>
      <c r="I2297" s="293" t="s">
        <v>8231</v>
      </c>
      <c r="J2297" s="293" t="s">
        <v>8232</v>
      </c>
      <c r="K2297" s="290" t="s">
        <v>4623</v>
      </c>
      <c r="L2297" s="290" t="s">
        <v>4623</v>
      </c>
      <c r="M2297" s="290" t="s">
        <v>4623</v>
      </c>
      <c r="N2297" s="290" t="s">
        <v>4623</v>
      </c>
      <c r="O2297" s="290" t="s">
        <v>4623</v>
      </c>
      <c r="P2297" s="290" t="s">
        <v>999</v>
      </c>
      <c r="Q2297" s="291" t="s">
        <v>4623</v>
      </c>
      <c r="R2297" s="276"/>
      <c r="S2297" s="277">
        <f>IF(OR(C2297="",C2297=T$4),NA(),MATCH($B2297&amp;$C2297,'Smelter Reference List'!$J:$J,0))</f>
        <v>502</v>
      </c>
      <c r="T2297" s="278"/>
      <c r="U2297" s="278"/>
      <c r="V2297" s="278"/>
      <c r="W2297" s="278"/>
    </row>
    <row r="2298" spans="1:23" s="269" customFormat="1" ht="20.25">
      <c r="A2298" s="267"/>
      <c r="B2298" s="275" t="s">
        <v>2439</v>
      </c>
      <c r="C2298" s="275" t="s">
        <v>3831</v>
      </c>
      <c r="D2298" s="168" t="s">
        <v>8233</v>
      </c>
      <c r="E2298" s="168" t="s">
        <v>1867</v>
      </c>
      <c r="F2298" s="168" t="s">
        <v>4623</v>
      </c>
      <c r="G2298" s="168" t="s">
        <v>4623</v>
      </c>
      <c r="H2298" s="292" t="s">
        <v>4623</v>
      </c>
      <c r="I2298" s="293" t="s">
        <v>4623</v>
      </c>
      <c r="J2298" s="293" t="s">
        <v>4623</v>
      </c>
      <c r="K2298" s="290" t="s">
        <v>4623</v>
      </c>
      <c r="L2298" s="290" t="s">
        <v>4623</v>
      </c>
      <c r="M2298" s="290" t="s">
        <v>4623</v>
      </c>
      <c r="N2298" s="290" t="s">
        <v>4623</v>
      </c>
      <c r="O2298" s="290" t="s">
        <v>4623</v>
      </c>
      <c r="P2298" s="290" t="s">
        <v>999</v>
      </c>
      <c r="Q2298" s="291" t="s">
        <v>4623</v>
      </c>
      <c r="R2298" s="276"/>
      <c r="S2298" s="277">
        <f>IF(OR(C2298="",C2298=T$4),NA(),MATCH($B2298&amp;$C2298,'Smelter Reference List'!$J:$J,0))</f>
        <v>502</v>
      </c>
      <c r="T2298" s="278"/>
      <c r="U2298" s="278"/>
      <c r="V2298" s="278"/>
      <c r="W2298" s="278"/>
    </row>
    <row r="2299" spans="1:23" s="269" customFormat="1" ht="20.25">
      <c r="A2299" s="267"/>
      <c r="B2299" s="275" t="s">
        <v>2439</v>
      </c>
      <c r="C2299" s="275" t="s">
        <v>3831</v>
      </c>
      <c r="D2299" s="168" t="s">
        <v>8234</v>
      </c>
      <c r="E2299" s="168" t="s">
        <v>1867</v>
      </c>
      <c r="F2299" s="168" t="s">
        <v>4623</v>
      </c>
      <c r="G2299" s="168" t="s">
        <v>4623</v>
      </c>
      <c r="H2299" s="292" t="s">
        <v>8235</v>
      </c>
      <c r="I2299" s="293" t="s">
        <v>8236</v>
      </c>
      <c r="J2299" s="293" t="s">
        <v>8237</v>
      </c>
      <c r="K2299" s="290" t="s">
        <v>8238</v>
      </c>
      <c r="L2299" s="290" t="s">
        <v>8239</v>
      </c>
      <c r="M2299" s="290" t="s">
        <v>4623</v>
      </c>
      <c r="N2299" s="290" t="s">
        <v>4623</v>
      </c>
      <c r="O2299" s="290" t="s">
        <v>4623</v>
      </c>
      <c r="P2299" s="290" t="s">
        <v>999</v>
      </c>
      <c r="Q2299" s="291" t="s">
        <v>4623</v>
      </c>
      <c r="R2299" s="276"/>
      <c r="S2299" s="277">
        <f>IF(OR(C2299="",C2299=T$4),NA(),MATCH($B2299&amp;$C2299,'Smelter Reference List'!$J:$J,0))</f>
        <v>502</v>
      </c>
      <c r="T2299" s="278"/>
      <c r="U2299" s="278"/>
      <c r="V2299" s="278"/>
      <c r="W2299" s="278"/>
    </row>
    <row r="2300" spans="1:23" s="269" customFormat="1" ht="20.25">
      <c r="A2300" s="267"/>
      <c r="B2300" s="275" t="s">
        <v>2439</v>
      </c>
      <c r="C2300" s="275" t="s">
        <v>3831</v>
      </c>
      <c r="D2300" s="168" t="s">
        <v>5966</v>
      </c>
      <c r="E2300" s="168" t="s">
        <v>1867</v>
      </c>
      <c r="F2300" s="168" t="s">
        <v>4623</v>
      </c>
      <c r="G2300" s="168" t="s">
        <v>4623</v>
      </c>
      <c r="H2300" s="292" t="s">
        <v>8240</v>
      </c>
      <c r="I2300" s="293" t="s">
        <v>8241</v>
      </c>
      <c r="J2300" s="293" t="s">
        <v>8242</v>
      </c>
      <c r="K2300" s="290" t="s">
        <v>8243</v>
      </c>
      <c r="L2300" s="290" t="s">
        <v>8244</v>
      </c>
      <c r="M2300" s="290" t="s">
        <v>4623</v>
      </c>
      <c r="N2300" s="290" t="s">
        <v>6220</v>
      </c>
      <c r="O2300" s="290" t="s">
        <v>4623</v>
      </c>
      <c r="P2300" s="290" t="s">
        <v>999</v>
      </c>
      <c r="Q2300" s="291" t="s">
        <v>4623</v>
      </c>
      <c r="R2300" s="276"/>
      <c r="S2300" s="277">
        <f>IF(OR(C2300="",C2300=T$4),NA(),MATCH($B2300&amp;$C2300,'Smelter Reference List'!$J:$J,0))</f>
        <v>502</v>
      </c>
      <c r="T2300" s="278"/>
      <c r="U2300" s="278"/>
      <c r="V2300" s="278"/>
      <c r="W2300" s="278"/>
    </row>
    <row r="2301" spans="1:23" s="269" customFormat="1" ht="20.25">
      <c r="A2301" s="267"/>
      <c r="B2301" s="275" t="s">
        <v>2439</v>
      </c>
      <c r="C2301" s="275" t="s">
        <v>3831</v>
      </c>
      <c r="D2301" s="168" t="s">
        <v>5970</v>
      </c>
      <c r="E2301" s="168" t="s">
        <v>1867</v>
      </c>
      <c r="F2301" s="168" t="s">
        <v>4623</v>
      </c>
      <c r="G2301" s="168" t="s">
        <v>4623</v>
      </c>
      <c r="H2301" s="292" t="s">
        <v>8245</v>
      </c>
      <c r="I2301" s="293" t="s">
        <v>8246</v>
      </c>
      <c r="J2301" s="293" t="s">
        <v>8247</v>
      </c>
      <c r="K2301" s="290" t="s">
        <v>8248</v>
      </c>
      <c r="L2301" s="290" t="s">
        <v>8249</v>
      </c>
      <c r="M2301" s="290" t="s">
        <v>4623</v>
      </c>
      <c r="N2301" s="290" t="s">
        <v>6220</v>
      </c>
      <c r="O2301" s="290" t="s">
        <v>4623</v>
      </c>
      <c r="P2301" s="290" t="s">
        <v>999</v>
      </c>
      <c r="Q2301" s="291" t="s">
        <v>4623</v>
      </c>
      <c r="R2301" s="276"/>
      <c r="S2301" s="277">
        <f>IF(OR(C2301="",C2301=T$4),NA(),MATCH($B2301&amp;$C2301,'Smelter Reference List'!$J:$J,0))</f>
        <v>502</v>
      </c>
      <c r="T2301" s="278"/>
      <c r="U2301" s="278"/>
      <c r="V2301" s="278"/>
      <c r="W2301" s="278"/>
    </row>
    <row r="2302" spans="1:23" s="269" customFormat="1" ht="20.25">
      <c r="A2302" s="267"/>
      <c r="B2302" s="275" t="s">
        <v>2439</v>
      </c>
      <c r="C2302" s="275" t="s">
        <v>3831</v>
      </c>
      <c r="D2302" s="168" t="s">
        <v>8250</v>
      </c>
      <c r="E2302" s="168" t="s">
        <v>1867</v>
      </c>
      <c r="F2302" s="168" t="s">
        <v>4623</v>
      </c>
      <c r="G2302" s="168" t="s">
        <v>4623</v>
      </c>
      <c r="H2302" s="292" t="s">
        <v>4623</v>
      </c>
      <c r="I2302" s="293" t="s">
        <v>4623</v>
      </c>
      <c r="J2302" s="293" t="s">
        <v>4623</v>
      </c>
      <c r="K2302" s="290" t="s">
        <v>4623</v>
      </c>
      <c r="L2302" s="290" t="s">
        <v>4623</v>
      </c>
      <c r="M2302" s="290" t="s">
        <v>4623</v>
      </c>
      <c r="N2302" s="290" t="s">
        <v>4623</v>
      </c>
      <c r="O2302" s="290" t="s">
        <v>4623</v>
      </c>
      <c r="P2302" s="290" t="s">
        <v>999</v>
      </c>
      <c r="Q2302" s="291" t="s">
        <v>4623</v>
      </c>
      <c r="R2302" s="276"/>
      <c r="S2302" s="277">
        <f>IF(OR(C2302="",C2302=T$4),NA(),MATCH($B2302&amp;$C2302,'Smelter Reference List'!$J:$J,0))</f>
        <v>502</v>
      </c>
      <c r="T2302" s="278"/>
      <c r="U2302" s="278"/>
      <c r="V2302" s="278"/>
      <c r="W2302" s="278"/>
    </row>
    <row r="2303" spans="1:23" s="269" customFormat="1" ht="20.25">
      <c r="A2303" s="267"/>
      <c r="B2303" s="275" t="s">
        <v>2439</v>
      </c>
      <c r="C2303" s="275" t="s">
        <v>3831</v>
      </c>
      <c r="D2303" s="168" t="s">
        <v>8251</v>
      </c>
      <c r="E2303" s="168" t="s">
        <v>1867</v>
      </c>
      <c r="F2303" s="168" t="s">
        <v>4623</v>
      </c>
      <c r="G2303" s="168" t="s">
        <v>4623</v>
      </c>
      <c r="H2303" s="292" t="s">
        <v>4623</v>
      </c>
      <c r="I2303" s="293" t="s">
        <v>4623</v>
      </c>
      <c r="J2303" s="293" t="s">
        <v>4623</v>
      </c>
      <c r="K2303" s="290" t="s">
        <v>4623</v>
      </c>
      <c r="L2303" s="290" t="s">
        <v>4623</v>
      </c>
      <c r="M2303" s="290" t="s">
        <v>4623</v>
      </c>
      <c r="N2303" s="290" t="s">
        <v>4623</v>
      </c>
      <c r="O2303" s="290" t="s">
        <v>4623</v>
      </c>
      <c r="P2303" s="290" t="s">
        <v>999</v>
      </c>
      <c r="Q2303" s="291" t="s">
        <v>4623</v>
      </c>
      <c r="R2303" s="276"/>
      <c r="S2303" s="277">
        <f>IF(OR(C2303="",C2303=T$4),NA(),MATCH($B2303&amp;$C2303,'Smelter Reference List'!$J:$J,0))</f>
        <v>502</v>
      </c>
      <c r="T2303" s="278"/>
      <c r="U2303" s="278"/>
      <c r="V2303" s="278"/>
      <c r="W2303" s="278"/>
    </row>
    <row r="2304" spans="1:23" s="269" customFormat="1" ht="20.25">
      <c r="A2304" s="267"/>
      <c r="B2304" s="275" t="s">
        <v>2439</v>
      </c>
      <c r="C2304" s="275" t="s">
        <v>3831</v>
      </c>
      <c r="D2304" s="168" t="s">
        <v>5978</v>
      </c>
      <c r="E2304" s="168" t="s">
        <v>1867</v>
      </c>
      <c r="F2304" s="168" t="s">
        <v>4623</v>
      </c>
      <c r="G2304" s="168" t="s">
        <v>4623</v>
      </c>
      <c r="H2304" s="292" t="s">
        <v>8252</v>
      </c>
      <c r="I2304" s="293" t="s">
        <v>8253</v>
      </c>
      <c r="J2304" s="293" t="s">
        <v>8254</v>
      </c>
      <c r="K2304" s="290" t="s">
        <v>8255</v>
      </c>
      <c r="L2304" s="290" t="s">
        <v>8256</v>
      </c>
      <c r="M2304" s="290" t="s">
        <v>4623</v>
      </c>
      <c r="N2304" s="290" t="s">
        <v>6220</v>
      </c>
      <c r="O2304" s="290" t="s">
        <v>4623</v>
      </c>
      <c r="P2304" s="290" t="s">
        <v>999</v>
      </c>
      <c r="Q2304" s="291" t="s">
        <v>4623</v>
      </c>
      <c r="R2304" s="276"/>
      <c r="S2304" s="277">
        <f>IF(OR(C2304="",C2304=T$4),NA(),MATCH($B2304&amp;$C2304,'Smelter Reference List'!$J:$J,0))</f>
        <v>502</v>
      </c>
      <c r="T2304" s="278"/>
      <c r="U2304" s="278"/>
      <c r="V2304" s="278"/>
      <c r="W2304" s="278"/>
    </row>
    <row r="2305" spans="1:23" s="269" customFormat="1" ht="20.25">
      <c r="A2305" s="267"/>
      <c r="B2305" s="275" t="s">
        <v>2439</v>
      </c>
      <c r="C2305" s="275" t="s">
        <v>3831</v>
      </c>
      <c r="D2305" s="168" t="s">
        <v>8257</v>
      </c>
      <c r="E2305" s="168" t="s">
        <v>1874</v>
      </c>
      <c r="F2305" s="168" t="s">
        <v>2699</v>
      </c>
      <c r="G2305" s="168" t="s">
        <v>4623</v>
      </c>
      <c r="H2305" s="292" t="s">
        <v>4623</v>
      </c>
      <c r="I2305" s="293" t="s">
        <v>4623</v>
      </c>
      <c r="J2305" s="293" t="s">
        <v>4623</v>
      </c>
      <c r="K2305" s="290" t="s">
        <v>4623</v>
      </c>
      <c r="L2305" s="290" t="s">
        <v>4623</v>
      </c>
      <c r="M2305" s="290" t="s">
        <v>4623</v>
      </c>
      <c r="N2305" s="290" t="s">
        <v>4623</v>
      </c>
      <c r="O2305" s="290" t="s">
        <v>4623</v>
      </c>
      <c r="P2305" s="290" t="s">
        <v>999</v>
      </c>
      <c r="Q2305" s="291" t="s">
        <v>4623</v>
      </c>
      <c r="R2305" s="276"/>
      <c r="S2305" s="277">
        <f>IF(OR(C2305="",C2305=T$4),NA(),MATCH($B2305&amp;$C2305,'Smelter Reference List'!$J:$J,0))</f>
        <v>502</v>
      </c>
      <c r="T2305" s="278"/>
      <c r="U2305" s="278"/>
      <c r="V2305" s="278"/>
      <c r="W2305" s="278"/>
    </row>
    <row r="2306" spans="1:23" s="269" customFormat="1" ht="20.25">
      <c r="A2306" s="267"/>
      <c r="B2306" s="275" t="s">
        <v>2439</v>
      </c>
      <c r="C2306" s="275" t="s">
        <v>2</v>
      </c>
      <c r="D2306" s="168" t="s">
        <v>6248</v>
      </c>
      <c r="E2306" s="168" t="s">
        <v>1874</v>
      </c>
      <c r="F2306" s="168" t="s">
        <v>1520</v>
      </c>
      <c r="G2306" s="168" t="s">
        <v>3324</v>
      </c>
      <c r="H2306" s="292" t="s">
        <v>4623</v>
      </c>
      <c r="I2306" s="293" t="s">
        <v>4623</v>
      </c>
      <c r="J2306" s="293" t="s">
        <v>4623</v>
      </c>
      <c r="K2306" s="290" t="s">
        <v>4623</v>
      </c>
      <c r="L2306" s="290" t="s">
        <v>4623</v>
      </c>
      <c r="M2306" s="290" t="s">
        <v>4623</v>
      </c>
      <c r="N2306" s="290" t="s">
        <v>4623</v>
      </c>
      <c r="O2306" s="290" t="s">
        <v>4623</v>
      </c>
      <c r="P2306" s="290" t="s">
        <v>999</v>
      </c>
      <c r="Q2306" s="291" t="s">
        <v>4623</v>
      </c>
      <c r="R2306" s="276"/>
      <c r="S2306" s="277">
        <f>IF(OR(C2306="",C2306=T$4),NA(),MATCH($B2306&amp;$C2306,'Smelter Reference List'!$J:$J,0))</f>
        <v>492</v>
      </c>
      <c r="T2306" s="278"/>
      <c r="U2306" s="278"/>
      <c r="V2306" s="278"/>
      <c r="W2306" s="278"/>
    </row>
    <row r="2307" spans="1:23" s="269" customFormat="1" ht="20.25">
      <c r="A2307" s="267"/>
      <c r="B2307" s="275" t="s">
        <v>2439</v>
      </c>
      <c r="C2307" s="275" t="s">
        <v>3801</v>
      </c>
      <c r="D2307" s="168" t="s">
        <v>3801</v>
      </c>
      <c r="E2307" s="168" t="s">
        <v>2294</v>
      </c>
      <c r="F2307" s="168" t="s">
        <v>227</v>
      </c>
      <c r="G2307" s="168" t="s">
        <v>3324</v>
      </c>
      <c r="H2307" s="292" t="s">
        <v>4623</v>
      </c>
      <c r="I2307" s="293" t="s">
        <v>4623</v>
      </c>
      <c r="J2307" s="293" t="s">
        <v>4623</v>
      </c>
      <c r="K2307" s="290" t="s">
        <v>4623</v>
      </c>
      <c r="L2307" s="290" t="s">
        <v>4623</v>
      </c>
      <c r="M2307" s="290" t="s">
        <v>4623</v>
      </c>
      <c r="N2307" s="290" t="s">
        <v>4623</v>
      </c>
      <c r="O2307" s="290" t="s">
        <v>4623</v>
      </c>
      <c r="P2307" s="290" t="s">
        <v>999</v>
      </c>
      <c r="Q2307" s="291" t="s">
        <v>4623</v>
      </c>
      <c r="R2307" s="276"/>
      <c r="S2307" s="277">
        <f>IF(OR(C2307="",C2307=T$4),NA(),MATCH($B2307&amp;$C2307,'Smelter Reference List'!$J:$J,0))</f>
        <v>497</v>
      </c>
      <c r="T2307" s="278"/>
      <c r="U2307" s="278"/>
      <c r="V2307" s="278"/>
      <c r="W2307" s="278"/>
    </row>
    <row r="2308" spans="1:23" s="269" customFormat="1" ht="20.25">
      <c r="A2308" s="267"/>
      <c r="B2308" s="275" t="s">
        <v>2439</v>
      </c>
      <c r="C2308" s="275" t="s">
        <v>2798</v>
      </c>
      <c r="D2308" s="168" t="s">
        <v>8258</v>
      </c>
      <c r="E2308" s="168" t="s">
        <v>2294</v>
      </c>
      <c r="F2308" s="168" t="s">
        <v>1522</v>
      </c>
      <c r="G2308" s="168" t="s">
        <v>3324</v>
      </c>
      <c r="H2308" s="292" t="s">
        <v>4623</v>
      </c>
      <c r="I2308" s="293" t="s">
        <v>4623</v>
      </c>
      <c r="J2308" s="293" t="s">
        <v>4623</v>
      </c>
      <c r="K2308" s="290" t="s">
        <v>4623</v>
      </c>
      <c r="L2308" s="290" t="s">
        <v>4623</v>
      </c>
      <c r="M2308" s="290" t="s">
        <v>4623</v>
      </c>
      <c r="N2308" s="290" t="s">
        <v>4623</v>
      </c>
      <c r="O2308" s="290" t="s">
        <v>4667</v>
      </c>
      <c r="P2308" s="290" t="s">
        <v>999</v>
      </c>
      <c r="Q2308" s="291" t="s">
        <v>4623</v>
      </c>
      <c r="R2308" s="276"/>
      <c r="S2308" s="277">
        <f>IF(OR(C2308="",C2308=T$4),NA(),MATCH($B2308&amp;$C2308,'Smelter Reference List'!$J:$J,0))</f>
        <v>499</v>
      </c>
      <c r="T2308" s="278"/>
      <c r="U2308" s="278"/>
      <c r="V2308" s="278"/>
      <c r="W2308" s="278"/>
    </row>
    <row r="2309" spans="1:23" s="269" customFormat="1" ht="20.25">
      <c r="A2309" s="267"/>
      <c r="B2309" s="275"/>
      <c r="C2309" s="275"/>
      <c r="D2309" s="168" t="str">
        <f ca="1">IF(ISERROR($S2309),"",OFFSET('Smelter Reference List'!$C$4,$S2309-4,0)&amp;"")</f>
        <v/>
      </c>
      <c r="E2309" s="168" t="str">
        <f ca="1">IF(ISERROR($S2309),"",OFFSET('Smelter Reference List'!$D$4,$S2309-4,0)&amp;"")</f>
        <v/>
      </c>
      <c r="F2309" s="168" t="str">
        <f ca="1">IF(ISERROR($S2309),"",OFFSET('Smelter Reference List'!$E$4,$S2309-4,0))</f>
        <v/>
      </c>
      <c r="G2309" s="168" t="str">
        <f ca="1">IF(C2309=$U$4,"Enter smelter details", IF(ISERROR($S2309),"",OFFSET('Smelter Reference List'!$F$4,$S2309-4,0)))</f>
        <v/>
      </c>
      <c r="H2309" s="292" t="str">
        <f ca="1">IF(ISERROR($S2309),"",OFFSET('Smelter Reference List'!$G$4,$S2309-4,0))</f>
        <v/>
      </c>
      <c r="I2309" s="293" t="str">
        <f ca="1">IF(ISERROR($S2309),"",OFFSET('Smelter Reference List'!$H$4,$S2309-4,0))</f>
        <v/>
      </c>
      <c r="J2309" s="293" t="str">
        <f ca="1">IF(ISERROR($S2309),"",OFFSET('Smelter Reference List'!$I$4,$S2309-4,0))</f>
        <v/>
      </c>
      <c r="K2309" s="290"/>
      <c r="L2309" s="290"/>
      <c r="M2309" s="290"/>
      <c r="N2309" s="290"/>
      <c r="O2309" s="290"/>
      <c r="P2309" s="290"/>
      <c r="Q2309" s="291"/>
      <c r="R2309" s="276"/>
      <c r="S2309" s="277" t="e">
        <f>IF(OR(C2309="",C2309=T$4),NA(),MATCH($B2309&amp;$C2309,'Smelter Reference List'!$J:$J,0))</f>
        <v>#N/A</v>
      </c>
      <c r="T2309" s="278"/>
      <c r="U2309" s="278"/>
      <c r="V2309" s="278"/>
      <c r="W2309" s="278"/>
    </row>
    <row r="2310" spans="1:23" s="269" customFormat="1" ht="20.25">
      <c r="A2310" s="267"/>
      <c r="B2310" s="275"/>
      <c r="C2310" s="275"/>
      <c r="D2310" s="168" t="str">
        <f ca="1">IF(ISERROR($S2310),"",OFFSET('Smelter Reference List'!$C$4,$S2310-4,0)&amp;"")</f>
        <v/>
      </c>
      <c r="E2310" s="168" t="str">
        <f ca="1">IF(ISERROR($S2310),"",OFFSET('Smelter Reference List'!$D$4,$S2310-4,0)&amp;"")</f>
        <v/>
      </c>
      <c r="F2310" s="168" t="str">
        <f ca="1">IF(ISERROR($S2310),"",OFFSET('Smelter Reference List'!$E$4,$S2310-4,0))</f>
        <v/>
      </c>
      <c r="G2310" s="168" t="str">
        <f ca="1">IF(C2310=$U$4,"Enter smelter details", IF(ISERROR($S2310),"",OFFSET('Smelter Reference List'!$F$4,$S2310-4,0)))</f>
        <v/>
      </c>
      <c r="H2310" s="292" t="str">
        <f ca="1">IF(ISERROR($S2310),"",OFFSET('Smelter Reference List'!$G$4,$S2310-4,0))</f>
        <v/>
      </c>
      <c r="I2310" s="293" t="str">
        <f ca="1">IF(ISERROR($S2310),"",OFFSET('Smelter Reference List'!$H$4,$S2310-4,0))</f>
        <v/>
      </c>
      <c r="J2310" s="293" t="str">
        <f ca="1">IF(ISERROR($S2310),"",OFFSET('Smelter Reference List'!$I$4,$S2310-4,0))</f>
        <v/>
      </c>
      <c r="K2310" s="290"/>
      <c r="L2310" s="290"/>
      <c r="M2310" s="290"/>
      <c r="N2310" s="290"/>
      <c r="O2310" s="290"/>
      <c r="P2310" s="290"/>
      <c r="Q2310" s="291"/>
      <c r="R2310" s="276"/>
      <c r="S2310" s="277" t="e">
        <f>IF(OR(C2310="",C2310=T$4),NA(),MATCH($B2310&amp;$C2310,'Smelter Reference List'!$J:$J,0))</f>
        <v>#N/A</v>
      </c>
      <c r="T2310" s="278"/>
      <c r="U2310" s="278"/>
      <c r="V2310" s="278"/>
      <c r="W2310" s="278"/>
    </row>
    <row r="2311" spans="1:23" s="269" customFormat="1" ht="20.25">
      <c r="A2311" s="267"/>
      <c r="B2311" s="275"/>
      <c r="C2311" s="275"/>
      <c r="D2311" s="168" t="str">
        <f ca="1">IF(ISERROR($S2311),"",OFFSET('Smelter Reference List'!$C$4,$S2311-4,0)&amp;"")</f>
        <v/>
      </c>
      <c r="E2311" s="168" t="str">
        <f ca="1">IF(ISERROR($S2311),"",OFFSET('Smelter Reference List'!$D$4,$S2311-4,0)&amp;"")</f>
        <v/>
      </c>
      <c r="F2311" s="168" t="str">
        <f ca="1">IF(ISERROR($S2311),"",OFFSET('Smelter Reference List'!$E$4,$S2311-4,0))</f>
        <v/>
      </c>
      <c r="G2311" s="168" t="str">
        <f ca="1">IF(C2311=$U$4,"Enter smelter details", IF(ISERROR($S2311),"",OFFSET('Smelter Reference List'!$F$4,$S2311-4,0)))</f>
        <v/>
      </c>
      <c r="H2311" s="292" t="str">
        <f ca="1">IF(ISERROR($S2311),"",OFFSET('Smelter Reference List'!$G$4,$S2311-4,0))</f>
        <v/>
      </c>
      <c r="I2311" s="293" t="str">
        <f ca="1">IF(ISERROR($S2311),"",OFFSET('Smelter Reference List'!$H$4,$S2311-4,0))</f>
        <v/>
      </c>
      <c r="J2311" s="293" t="str">
        <f ca="1">IF(ISERROR($S2311),"",OFFSET('Smelter Reference List'!$I$4,$S2311-4,0))</f>
        <v/>
      </c>
      <c r="K2311" s="290"/>
      <c r="L2311" s="290"/>
      <c r="M2311" s="290"/>
      <c r="N2311" s="290"/>
      <c r="O2311" s="290"/>
      <c r="P2311" s="290"/>
      <c r="Q2311" s="291"/>
      <c r="R2311" s="276"/>
      <c r="S2311" s="277" t="e">
        <f>IF(OR(C2311="",C2311=T$4),NA(),MATCH($B2311&amp;$C2311,'Smelter Reference List'!$J:$J,0))</f>
        <v>#N/A</v>
      </c>
      <c r="T2311" s="278"/>
      <c r="U2311" s="278"/>
      <c r="V2311" s="278"/>
      <c r="W2311" s="278"/>
    </row>
    <row r="2312" spans="1:23" s="269" customFormat="1" ht="20.25">
      <c r="A2312" s="267"/>
      <c r="B2312" s="275"/>
      <c r="C2312" s="275"/>
      <c r="D2312" s="168" t="str">
        <f ca="1">IF(ISERROR($S2312),"",OFFSET('Smelter Reference List'!$C$4,$S2312-4,0)&amp;"")</f>
        <v/>
      </c>
      <c r="E2312" s="168" t="str">
        <f ca="1">IF(ISERROR($S2312),"",OFFSET('Smelter Reference List'!$D$4,$S2312-4,0)&amp;"")</f>
        <v/>
      </c>
      <c r="F2312" s="168" t="str">
        <f ca="1">IF(ISERROR($S2312),"",OFFSET('Smelter Reference List'!$E$4,$S2312-4,0))</f>
        <v/>
      </c>
      <c r="G2312" s="168" t="str">
        <f ca="1">IF(C2312=$U$4,"Enter smelter details", IF(ISERROR($S2312),"",OFFSET('Smelter Reference List'!$F$4,$S2312-4,0)))</f>
        <v/>
      </c>
      <c r="H2312" s="292" t="str">
        <f ca="1">IF(ISERROR($S2312),"",OFFSET('Smelter Reference List'!$G$4,$S2312-4,0))</f>
        <v/>
      </c>
      <c r="I2312" s="293" t="str">
        <f ca="1">IF(ISERROR($S2312),"",OFFSET('Smelter Reference List'!$H$4,$S2312-4,0))</f>
        <v/>
      </c>
      <c r="J2312" s="293" t="str">
        <f ca="1">IF(ISERROR($S2312),"",OFFSET('Smelter Reference List'!$I$4,$S2312-4,0))</f>
        <v/>
      </c>
      <c r="K2312" s="290"/>
      <c r="L2312" s="290"/>
      <c r="M2312" s="290"/>
      <c r="N2312" s="290"/>
      <c r="O2312" s="290"/>
      <c r="P2312" s="290"/>
      <c r="Q2312" s="291"/>
      <c r="R2312" s="276"/>
      <c r="S2312" s="277" t="e">
        <f>IF(OR(C2312="",C2312=T$4),NA(),MATCH($B2312&amp;$C2312,'Smelter Reference List'!$J:$J,0))</f>
        <v>#N/A</v>
      </c>
      <c r="T2312" s="278"/>
      <c r="U2312" s="278"/>
      <c r="V2312" s="278"/>
      <c r="W2312" s="278"/>
    </row>
    <row r="2313" spans="1:23" s="269" customFormat="1" ht="20.25">
      <c r="A2313" s="267"/>
      <c r="B2313" s="275"/>
      <c r="C2313" s="275"/>
      <c r="D2313" s="168" t="str">
        <f ca="1">IF(ISERROR($S2313),"",OFFSET('Smelter Reference List'!$C$4,$S2313-4,0)&amp;"")</f>
        <v/>
      </c>
      <c r="E2313" s="168" t="str">
        <f ca="1">IF(ISERROR($S2313),"",OFFSET('Smelter Reference List'!$D$4,$S2313-4,0)&amp;"")</f>
        <v/>
      </c>
      <c r="F2313" s="168" t="str">
        <f ca="1">IF(ISERROR($S2313),"",OFFSET('Smelter Reference List'!$E$4,$S2313-4,0))</f>
        <v/>
      </c>
      <c r="G2313" s="168" t="str">
        <f ca="1">IF(C2313=$U$4,"Enter smelter details", IF(ISERROR($S2313),"",OFFSET('Smelter Reference List'!$F$4,$S2313-4,0)))</f>
        <v/>
      </c>
      <c r="H2313" s="292" t="str">
        <f ca="1">IF(ISERROR($S2313),"",OFFSET('Smelter Reference List'!$G$4,$S2313-4,0))</f>
        <v/>
      </c>
      <c r="I2313" s="293" t="str">
        <f ca="1">IF(ISERROR($S2313),"",OFFSET('Smelter Reference List'!$H$4,$S2313-4,0))</f>
        <v/>
      </c>
      <c r="J2313" s="293" t="str">
        <f ca="1">IF(ISERROR($S2313),"",OFFSET('Smelter Reference List'!$I$4,$S2313-4,0))</f>
        <v/>
      </c>
      <c r="K2313" s="290"/>
      <c r="L2313" s="290"/>
      <c r="M2313" s="290"/>
      <c r="N2313" s="290"/>
      <c r="O2313" s="290"/>
      <c r="P2313" s="290"/>
      <c r="Q2313" s="291"/>
      <c r="R2313" s="276"/>
      <c r="S2313" s="277" t="e">
        <f>IF(OR(C2313="",C2313=T$4),NA(),MATCH($B2313&amp;$C2313,'Smelter Reference List'!$J:$J,0))</f>
        <v>#N/A</v>
      </c>
      <c r="T2313" s="278"/>
      <c r="U2313" s="278"/>
      <c r="V2313" s="278"/>
      <c r="W2313" s="278"/>
    </row>
    <row r="2314" spans="1:23" s="269" customFormat="1" ht="20.25">
      <c r="A2314" s="267"/>
      <c r="B2314" s="275"/>
      <c r="C2314" s="275"/>
      <c r="D2314" s="168" t="str">
        <f ca="1">IF(ISERROR($S2314),"",OFFSET('Smelter Reference List'!$C$4,$S2314-4,0)&amp;"")</f>
        <v/>
      </c>
      <c r="E2314" s="168" t="str">
        <f ca="1">IF(ISERROR($S2314),"",OFFSET('Smelter Reference List'!$D$4,$S2314-4,0)&amp;"")</f>
        <v/>
      </c>
      <c r="F2314" s="168" t="str">
        <f ca="1">IF(ISERROR($S2314),"",OFFSET('Smelter Reference List'!$E$4,$S2314-4,0))</f>
        <v/>
      </c>
      <c r="G2314" s="168" t="str">
        <f ca="1">IF(C2314=$U$4,"Enter smelter details", IF(ISERROR($S2314),"",OFFSET('Smelter Reference List'!$F$4,$S2314-4,0)))</f>
        <v/>
      </c>
      <c r="H2314" s="292" t="str">
        <f ca="1">IF(ISERROR($S2314),"",OFFSET('Smelter Reference List'!$G$4,$S2314-4,0))</f>
        <v/>
      </c>
      <c r="I2314" s="293" t="str">
        <f ca="1">IF(ISERROR($S2314),"",OFFSET('Smelter Reference List'!$H$4,$S2314-4,0))</f>
        <v/>
      </c>
      <c r="J2314" s="293" t="str">
        <f ca="1">IF(ISERROR($S2314),"",OFFSET('Smelter Reference List'!$I$4,$S2314-4,0))</f>
        <v/>
      </c>
      <c r="K2314" s="290"/>
      <c r="L2314" s="290"/>
      <c r="M2314" s="290"/>
      <c r="N2314" s="290"/>
      <c r="O2314" s="290"/>
      <c r="P2314" s="290"/>
      <c r="Q2314" s="291"/>
      <c r="R2314" s="276"/>
      <c r="S2314" s="277" t="e">
        <f>IF(OR(C2314="",C2314=T$4),NA(),MATCH($B2314&amp;$C2314,'Smelter Reference List'!$J:$J,0))</f>
        <v>#N/A</v>
      </c>
      <c r="T2314" s="278"/>
      <c r="U2314" s="278"/>
      <c r="V2314" s="278"/>
      <c r="W2314" s="278"/>
    </row>
    <row r="2315" spans="1:23" s="269" customFormat="1" ht="20.25">
      <c r="A2315" s="267"/>
      <c r="B2315" s="275"/>
      <c r="C2315" s="275"/>
      <c r="D2315" s="168" t="str">
        <f ca="1">IF(ISERROR($S2315),"",OFFSET('Smelter Reference List'!$C$4,$S2315-4,0)&amp;"")</f>
        <v/>
      </c>
      <c r="E2315" s="168" t="str">
        <f ca="1">IF(ISERROR($S2315),"",OFFSET('Smelter Reference List'!$D$4,$S2315-4,0)&amp;"")</f>
        <v/>
      </c>
      <c r="F2315" s="168" t="str">
        <f ca="1">IF(ISERROR($S2315),"",OFFSET('Smelter Reference List'!$E$4,$S2315-4,0))</f>
        <v/>
      </c>
      <c r="G2315" s="168" t="str">
        <f ca="1">IF(C2315=$U$4,"Enter smelter details", IF(ISERROR($S2315),"",OFFSET('Smelter Reference List'!$F$4,$S2315-4,0)))</f>
        <v/>
      </c>
      <c r="H2315" s="292" t="str">
        <f ca="1">IF(ISERROR($S2315),"",OFFSET('Smelter Reference List'!$G$4,$S2315-4,0))</f>
        <v/>
      </c>
      <c r="I2315" s="293" t="str">
        <f ca="1">IF(ISERROR($S2315),"",OFFSET('Smelter Reference List'!$H$4,$S2315-4,0))</f>
        <v/>
      </c>
      <c r="J2315" s="293" t="str">
        <f ca="1">IF(ISERROR($S2315),"",OFFSET('Smelter Reference List'!$I$4,$S2315-4,0))</f>
        <v/>
      </c>
      <c r="K2315" s="290"/>
      <c r="L2315" s="290"/>
      <c r="M2315" s="290"/>
      <c r="N2315" s="290"/>
      <c r="O2315" s="290"/>
      <c r="P2315" s="290"/>
      <c r="Q2315" s="291"/>
      <c r="R2315" s="276"/>
      <c r="S2315" s="277" t="e">
        <f>IF(OR(C2315="",C2315=T$4),NA(),MATCH($B2315&amp;$C2315,'Smelter Reference List'!$J:$J,0))</f>
        <v>#N/A</v>
      </c>
      <c r="T2315" s="278"/>
      <c r="U2315" s="278"/>
      <c r="V2315" s="278"/>
      <c r="W2315" s="278"/>
    </row>
    <row r="2316" spans="1:23" s="269" customFormat="1" ht="20.25">
      <c r="A2316" s="267"/>
      <c r="B2316" s="275"/>
      <c r="C2316" s="275"/>
      <c r="D2316" s="168" t="str">
        <f ca="1">IF(ISERROR($S2316),"",OFFSET('Smelter Reference List'!$C$4,$S2316-4,0)&amp;"")</f>
        <v/>
      </c>
      <c r="E2316" s="168" t="str">
        <f ca="1">IF(ISERROR($S2316),"",OFFSET('Smelter Reference List'!$D$4,$S2316-4,0)&amp;"")</f>
        <v/>
      </c>
      <c r="F2316" s="168" t="str">
        <f ca="1">IF(ISERROR($S2316),"",OFFSET('Smelter Reference List'!$E$4,$S2316-4,0))</f>
        <v/>
      </c>
      <c r="G2316" s="168" t="str">
        <f ca="1">IF(C2316=$U$4,"Enter smelter details", IF(ISERROR($S2316),"",OFFSET('Smelter Reference List'!$F$4,$S2316-4,0)))</f>
        <v/>
      </c>
      <c r="H2316" s="292" t="str">
        <f ca="1">IF(ISERROR($S2316),"",OFFSET('Smelter Reference List'!$G$4,$S2316-4,0))</f>
        <v/>
      </c>
      <c r="I2316" s="293" t="str">
        <f ca="1">IF(ISERROR($S2316),"",OFFSET('Smelter Reference List'!$H$4,$S2316-4,0))</f>
        <v/>
      </c>
      <c r="J2316" s="293" t="str">
        <f ca="1">IF(ISERROR($S2316),"",OFFSET('Smelter Reference List'!$I$4,$S2316-4,0))</f>
        <v/>
      </c>
      <c r="K2316" s="290"/>
      <c r="L2316" s="290"/>
      <c r="M2316" s="290"/>
      <c r="N2316" s="290"/>
      <c r="O2316" s="290"/>
      <c r="P2316" s="290"/>
      <c r="Q2316" s="291"/>
      <c r="R2316" s="276"/>
      <c r="S2316" s="277" t="e">
        <f>IF(OR(C2316="",C2316=T$4),NA(),MATCH($B2316&amp;$C2316,'Smelter Reference List'!$J:$J,0))</f>
        <v>#N/A</v>
      </c>
      <c r="T2316" s="278"/>
      <c r="U2316" s="278"/>
      <c r="V2316" s="278"/>
      <c r="W2316" s="278"/>
    </row>
    <row r="2317" spans="1:23" s="269" customFormat="1" ht="20.25">
      <c r="A2317" s="267"/>
      <c r="B2317" s="275"/>
      <c r="C2317" s="275"/>
      <c r="D2317" s="168" t="str">
        <f ca="1">IF(ISERROR($S2317),"",OFFSET('Smelter Reference List'!$C$4,$S2317-4,0)&amp;"")</f>
        <v/>
      </c>
      <c r="E2317" s="168" t="str">
        <f ca="1">IF(ISERROR($S2317),"",OFFSET('Smelter Reference List'!$D$4,$S2317-4,0)&amp;"")</f>
        <v/>
      </c>
      <c r="F2317" s="168" t="str">
        <f ca="1">IF(ISERROR($S2317),"",OFFSET('Smelter Reference List'!$E$4,$S2317-4,0))</f>
        <v/>
      </c>
      <c r="G2317" s="168" t="str">
        <f ca="1">IF(C2317=$U$4,"Enter smelter details", IF(ISERROR($S2317),"",OFFSET('Smelter Reference List'!$F$4,$S2317-4,0)))</f>
        <v/>
      </c>
      <c r="H2317" s="292" t="str">
        <f ca="1">IF(ISERROR($S2317),"",OFFSET('Smelter Reference List'!$G$4,$S2317-4,0))</f>
        <v/>
      </c>
      <c r="I2317" s="293" t="str">
        <f ca="1">IF(ISERROR($S2317),"",OFFSET('Smelter Reference List'!$H$4,$S2317-4,0))</f>
        <v/>
      </c>
      <c r="J2317" s="293" t="str">
        <f ca="1">IF(ISERROR($S2317),"",OFFSET('Smelter Reference List'!$I$4,$S2317-4,0))</f>
        <v/>
      </c>
      <c r="K2317" s="290"/>
      <c r="L2317" s="290"/>
      <c r="M2317" s="290"/>
      <c r="N2317" s="290"/>
      <c r="O2317" s="290"/>
      <c r="P2317" s="290"/>
      <c r="Q2317" s="291"/>
      <c r="R2317" s="276"/>
      <c r="S2317" s="277" t="e">
        <f>IF(OR(C2317="",C2317=T$4),NA(),MATCH($B2317&amp;$C2317,'Smelter Reference List'!$J:$J,0))</f>
        <v>#N/A</v>
      </c>
      <c r="T2317" s="278"/>
      <c r="U2317" s="278"/>
      <c r="V2317" s="278"/>
      <c r="W2317" s="278"/>
    </row>
    <row r="2318" spans="1:23" s="269" customFormat="1" ht="20.25">
      <c r="A2318" s="267"/>
      <c r="B2318" s="275"/>
      <c r="C2318" s="275"/>
      <c r="D2318" s="168" t="str">
        <f ca="1">IF(ISERROR($S2318),"",OFFSET('Smelter Reference List'!$C$4,$S2318-4,0)&amp;"")</f>
        <v/>
      </c>
      <c r="E2318" s="168" t="str">
        <f ca="1">IF(ISERROR($S2318),"",OFFSET('Smelter Reference List'!$D$4,$S2318-4,0)&amp;"")</f>
        <v/>
      </c>
      <c r="F2318" s="168" t="str">
        <f ca="1">IF(ISERROR($S2318),"",OFFSET('Smelter Reference List'!$E$4,$S2318-4,0))</f>
        <v/>
      </c>
      <c r="G2318" s="168" t="str">
        <f ca="1">IF(C2318=$U$4,"Enter smelter details", IF(ISERROR($S2318),"",OFFSET('Smelter Reference List'!$F$4,$S2318-4,0)))</f>
        <v/>
      </c>
      <c r="H2318" s="292" t="str">
        <f ca="1">IF(ISERROR($S2318),"",OFFSET('Smelter Reference List'!$G$4,$S2318-4,0))</f>
        <v/>
      </c>
      <c r="I2318" s="293" t="str">
        <f ca="1">IF(ISERROR($S2318),"",OFFSET('Smelter Reference List'!$H$4,$S2318-4,0))</f>
        <v/>
      </c>
      <c r="J2318" s="293" t="str">
        <f ca="1">IF(ISERROR($S2318),"",OFFSET('Smelter Reference List'!$I$4,$S2318-4,0))</f>
        <v/>
      </c>
      <c r="K2318" s="290"/>
      <c r="L2318" s="290"/>
      <c r="M2318" s="290"/>
      <c r="N2318" s="290"/>
      <c r="O2318" s="290"/>
      <c r="P2318" s="290"/>
      <c r="Q2318" s="291"/>
      <c r="R2318" s="276"/>
      <c r="S2318" s="277" t="e">
        <f>IF(OR(C2318="",C2318=T$4),NA(),MATCH($B2318&amp;$C2318,'Smelter Reference List'!$J:$J,0))</f>
        <v>#N/A</v>
      </c>
      <c r="T2318" s="278"/>
      <c r="U2318" s="278"/>
      <c r="V2318" s="278"/>
      <c r="W2318" s="278"/>
    </row>
    <row r="2319" spans="1:23" s="269" customFormat="1" ht="20.25">
      <c r="A2319" s="267"/>
      <c r="B2319" s="275"/>
      <c r="C2319" s="275"/>
      <c r="D2319" s="168" t="str">
        <f ca="1">IF(ISERROR($S2319),"",OFFSET('Smelter Reference List'!$C$4,$S2319-4,0)&amp;"")</f>
        <v/>
      </c>
      <c r="E2319" s="168" t="str">
        <f ca="1">IF(ISERROR($S2319),"",OFFSET('Smelter Reference List'!$D$4,$S2319-4,0)&amp;"")</f>
        <v/>
      </c>
      <c r="F2319" s="168" t="str">
        <f ca="1">IF(ISERROR($S2319),"",OFFSET('Smelter Reference List'!$E$4,$S2319-4,0))</f>
        <v/>
      </c>
      <c r="G2319" s="168" t="str">
        <f ca="1">IF(C2319=$U$4,"Enter smelter details", IF(ISERROR($S2319),"",OFFSET('Smelter Reference List'!$F$4,$S2319-4,0)))</f>
        <v/>
      </c>
      <c r="H2319" s="292" t="str">
        <f ca="1">IF(ISERROR($S2319),"",OFFSET('Smelter Reference List'!$G$4,$S2319-4,0))</f>
        <v/>
      </c>
      <c r="I2319" s="293" t="str">
        <f ca="1">IF(ISERROR($S2319),"",OFFSET('Smelter Reference List'!$H$4,$S2319-4,0))</f>
        <v/>
      </c>
      <c r="J2319" s="293" t="str">
        <f ca="1">IF(ISERROR($S2319),"",OFFSET('Smelter Reference List'!$I$4,$S2319-4,0))</f>
        <v/>
      </c>
      <c r="K2319" s="290"/>
      <c r="L2319" s="290"/>
      <c r="M2319" s="290"/>
      <c r="N2319" s="290"/>
      <c r="O2319" s="290"/>
      <c r="P2319" s="290"/>
      <c r="Q2319" s="291"/>
      <c r="R2319" s="276"/>
      <c r="S2319" s="277" t="e">
        <f>IF(OR(C2319="",C2319=T$4),NA(),MATCH($B2319&amp;$C2319,'Smelter Reference List'!$J:$J,0))</f>
        <v>#N/A</v>
      </c>
      <c r="T2319" s="278"/>
      <c r="U2319" s="278"/>
      <c r="V2319" s="278"/>
      <c r="W2319" s="278"/>
    </row>
    <row r="2320" spans="1:23" s="269" customFormat="1" ht="20.25">
      <c r="A2320" s="267"/>
      <c r="B2320" s="275"/>
      <c r="C2320" s="275"/>
      <c r="D2320" s="168" t="str">
        <f ca="1">IF(ISERROR($S2320),"",OFFSET('Smelter Reference List'!$C$4,$S2320-4,0)&amp;"")</f>
        <v/>
      </c>
      <c r="E2320" s="168" t="str">
        <f ca="1">IF(ISERROR($S2320),"",OFFSET('Smelter Reference List'!$D$4,$S2320-4,0)&amp;"")</f>
        <v/>
      </c>
      <c r="F2320" s="168" t="str">
        <f ca="1">IF(ISERROR($S2320),"",OFFSET('Smelter Reference List'!$E$4,$S2320-4,0))</f>
        <v/>
      </c>
      <c r="G2320" s="168" t="str">
        <f ca="1">IF(C2320=$U$4,"Enter smelter details", IF(ISERROR($S2320),"",OFFSET('Smelter Reference List'!$F$4,$S2320-4,0)))</f>
        <v/>
      </c>
      <c r="H2320" s="292" t="str">
        <f ca="1">IF(ISERROR($S2320),"",OFFSET('Smelter Reference List'!$G$4,$S2320-4,0))</f>
        <v/>
      </c>
      <c r="I2320" s="293" t="str">
        <f ca="1">IF(ISERROR($S2320),"",OFFSET('Smelter Reference List'!$H$4,$S2320-4,0))</f>
        <v/>
      </c>
      <c r="J2320" s="293" t="str">
        <f ca="1">IF(ISERROR($S2320),"",OFFSET('Smelter Reference List'!$I$4,$S2320-4,0))</f>
        <v/>
      </c>
      <c r="K2320" s="290"/>
      <c r="L2320" s="290"/>
      <c r="M2320" s="290"/>
      <c r="N2320" s="290"/>
      <c r="O2320" s="290"/>
      <c r="P2320" s="290"/>
      <c r="Q2320" s="291"/>
      <c r="R2320" s="276"/>
      <c r="S2320" s="277" t="e">
        <f>IF(OR(C2320="",C2320=T$4),NA(),MATCH($B2320&amp;$C2320,'Smelter Reference List'!$J:$J,0))</f>
        <v>#N/A</v>
      </c>
      <c r="T2320" s="278"/>
      <c r="U2320" s="278"/>
      <c r="V2320" s="278"/>
      <c r="W2320" s="278"/>
    </row>
    <row r="2321" spans="1:23" s="269" customFormat="1" ht="20.25">
      <c r="A2321" s="267"/>
      <c r="B2321" s="275"/>
      <c r="C2321" s="275"/>
      <c r="D2321" s="168" t="str">
        <f ca="1">IF(ISERROR($S2321),"",OFFSET('Smelter Reference List'!$C$4,$S2321-4,0)&amp;"")</f>
        <v/>
      </c>
      <c r="E2321" s="168" t="str">
        <f ca="1">IF(ISERROR($S2321),"",OFFSET('Smelter Reference List'!$D$4,$S2321-4,0)&amp;"")</f>
        <v/>
      </c>
      <c r="F2321" s="168" t="str">
        <f ca="1">IF(ISERROR($S2321),"",OFFSET('Smelter Reference List'!$E$4,$S2321-4,0))</f>
        <v/>
      </c>
      <c r="G2321" s="168" t="str">
        <f ca="1">IF(C2321=$U$4,"Enter smelter details", IF(ISERROR($S2321),"",OFFSET('Smelter Reference List'!$F$4,$S2321-4,0)))</f>
        <v/>
      </c>
      <c r="H2321" s="292" t="str">
        <f ca="1">IF(ISERROR($S2321),"",OFFSET('Smelter Reference List'!$G$4,$S2321-4,0))</f>
        <v/>
      </c>
      <c r="I2321" s="293" t="str">
        <f ca="1">IF(ISERROR($S2321),"",OFFSET('Smelter Reference List'!$H$4,$S2321-4,0))</f>
        <v/>
      </c>
      <c r="J2321" s="293" t="str">
        <f ca="1">IF(ISERROR($S2321),"",OFFSET('Smelter Reference List'!$I$4,$S2321-4,0))</f>
        <v/>
      </c>
      <c r="K2321" s="290"/>
      <c r="L2321" s="290"/>
      <c r="M2321" s="290"/>
      <c r="N2321" s="290"/>
      <c r="O2321" s="290"/>
      <c r="P2321" s="290"/>
      <c r="Q2321" s="291"/>
      <c r="R2321" s="276"/>
      <c r="S2321" s="277" t="e">
        <f>IF(OR(C2321="",C2321=T$4),NA(),MATCH($B2321&amp;$C2321,'Smelter Reference List'!$J:$J,0))</f>
        <v>#N/A</v>
      </c>
      <c r="T2321" s="278"/>
      <c r="U2321" s="278"/>
      <c r="V2321" s="278"/>
      <c r="W2321" s="278"/>
    </row>
    <row r="2322" spans="1:23" s="269" customFormat="1" ht="20.25">
      <c r="A2322" s="267"/>
      <c r="B2322" s="275"/>
      <c r="C2322" s="275"/>
      <c r="D2322" s="168" t="str">
        <f ca="1">IF(ISERROR($S2322),"",OFFSET('Smelter Reference List'!$C$4,$S2322-4,0)&amp;"")</f>
        <v/>
      </c>
      <c r="E2322" s="168" t="str">
        <f ca="1">IF(ISERROR($S2322),"",OFFSET('Smelter Reference List'!$D$4,$S2322-4,0)&amp;"")</f>
        <v/>
      </c>
      <c r="F2322" s="168" t="str">
        <f ca="1">IF(ISERROR($S2322),"",OFFSET('Smelter Reference List'!$E$4,$S2322-4,0))</f>
        <v/>
      </c>
      <c r="G2322" s="168" t="str">
        <f ca="1">IF(C2322=$U$4,"Enter smelter details", IF(ISERROR($S2322),"",OFFSET('Smelter Reference List'!$F$4,$S2322-4,0)))</f>
        <v/>
      </c>
      <c r="H2322" s="292" t="str">
        <f ca="1">IF(ISERROR($S2322),"",OFFSET('Smelter Reference List'!$G$4,$S2322-4,0))</f>
        <v/>
      </c>
      <c r="I2322" s="293" t="str">
        <f ca="1">IF(ISERROR($S2322),"",OFFSET('Smelter Reference List'!$H$4,$S2322-4,0))</f>
        <v/>
      </c>
      <c r="J2322" s="293" t="str">
        <f ca="1">IF(ISERROR($S2322),"",OFFSET('Smelter Reference List'!$I$4,$S2322-4,0))</f>
        <v/>
      </c>
      <c r="K2322" s="290"/>
      <c r="L2322" s="290"/>
      <c r="M2322" s="290"/>
      <c r="N2322" s="290"/>
      <c r="O2322" s="290"/>
      <c r="P2322" s="290"/>
      <c r="Q2322" s="291"/>
      <c r="R2322" s="276"/>
      <c r="S2322" s="277" t="e">
        <f>IF(OR(C2322="",C2322=T$4),NA(),MATCH($B2322&amp;$C2322,'Smelter Reference List'!$J:$J,0))</f>
        <v>#N/A</v>
      </c>
      <c r="T2322" s="278"/>
      <c r="U2322" s="278"/>
      <c r="V2322" s="278"/>
      <c r="W2322" s="278"/>
    </row>
    <row r="2323" spans="1:23" s="269" customFormat="1" ht="20.25">
      <c r="A2323" s="267"/>
      <c r="B2323" s="275"/>
      <c r="C2323" s="275"/>
      <c r="D2323" s="168" t="str">
        <f ca="1">IF(ISERROR($S2323),"",OFFSET('Smelter Reference List'!$C$4,$S2323-4,0)&amp;"")</f>
        <v/>
      </c>
      <c r="E2323" s="168" t="str">
        <f ca="1">IF(ISERROR($S2323),"",OFFSET('Smelter Reference List'!$D$4,$S2323-4,0)&amp;"")</f>
        <v/>
      </c>
      <c r="F2323" s="168" t="str">
        <f ca="1">IF(ISERROR($S2323),"",OFFSET('Smelter Reference List'!$E$4,$S2323-4,0))</f>
        <v/>
      </c>
      <c r="G2323" s="168" t="str">
        <f ca="1">IF(C2323=$U$4,"Enter smelter details", IF(ISERROR($S2323),"",OFFSET('Smelter Reference List'!$F$4,$S2323-4,0)))</f>
        <v/>
      </c>
      <c r="H2323" s="292" t="str">
        <f ca="1">IF(ISERROR($S2323),"",OFFSET('Smelter Reference List'!$G$4,$S2323-4,0))</f>
        <v/>
      </c>
      <c r="I2323" s="293" t="str">
        <f ca="1">IF(ISERROR($S2323),"",OFFSET('Smelter Reference List'!$H$4,$S2323-4,0))</f>
        <v/>
      </c>
      <c r="J2323" s="293" t="str">
        <f ca="1">IF(ISERROR($S2323),"",OFFSET('Smelter Reference List'!$I$4,$S2323-4,0))</f>
        <v/>
      </c>
      <c r="K2323" s="290"/>
      <c r="L2323" s="290"/>
      <c r="M2323" s="290"/>
      <c r="N2323" s="290"/>
      <c r="O2323" s="290"/>
      <c r="P2323" s="290"/>
      <c r="Q2323" s="291"/>
      <c r="R2323" s="276"/>
      <c r="S2323" s="277" t="e">
        <f>IF(OR(C2323="",C2323=T$4),NA(),MATCH($B2323&amp;$C2323,'Smelter Reference List'!$J:$J,0))</f>
        <v>#N/A</v>
      </c>
      <c r="T2323" s="278"/>
      <c r="U2323" s="278"/>
      <c r="V2323" s="278"/>
      <c r="W2323" s="278"/>
    </row>
    <row r="2324" spans="1:23" s="269" customFormat="1" ht="20.25">
      <c r="A2324" s="267"/>
      <c r="B2324" s="275"/>
      <c r="C2324" s="275"/>
      <c r="D2324" s="168" t="str">
        <f ca="1">IF(ISERROR($S2324),"",OFFSET('Smelter Reference List'!$C$4,$S2324-4,0)&amp;"")</f>
        <v/>
      </c>
      <c r="E2324" s="168" t="str">
        <f ca="1">IF(ISERROR($S2324),"",OFFSET('Smelter Reference List'!$D$4,$S2324-4,0)&amp;"")</f>
        <v/>
      </c>
      <c r="F2324" s="168" t="str">
        <f ca="1">IF(ISERROR($S2324),"",OFFSET('Smelter Reference List'!$E$4,$S2324-4,0))</f>
        <v/>
      </c>
      <c r="G2324" s="168" t="str">
        <f ca="1">IF(C2324=$U$4,"Enter smelter details", IF(ISERROR($S2324),"",OFFSET('Smelter Reference List'!$F$4,$S2324-4,0)))</f>
        <v/>
      </c>
      <c r="H2324" s="292" t="str">
        <f ca="1">IF(ISERROR($S2324),"",OFFSET('Smelter Reference List'!$G$4,$S2324-4,0))</f>
        <v/>
      </c>
      <c r="I2324" s="293" t="str">
        <f ca="1">IF(ISERROR($S2324),"",OFFSET('Smelter Reference List'!$H$4,$S2324-4,0))</f>
        <v/>
      </c>
      <c r="J2324" s="293" t="str">
        <f ca="1">IF(ISERROR($S2324),"",OFFSET('Smelter Reference List'!$I$4,$S2324-4,0))</f>
        <v/>
      </c>
      <c r="K2324" s="290"/>
      <c r="L2324" s="290"/>
      <c r="M2324" s="290"/>
      <c r="N2324" s="290"/>
      <c r="O2324" s="290"/>
      <c r="P2324" s="290"/>
      <c r="Q2324" s="291"/>
      <c r="R2324" s="276"/>
      <c r="S2324" s="277" t="e">
        <f>IF(OR(C2324="",C2324=T$4),NA(),MATCH($B2324&amp;$C2324,'Smelter Reference List'!$J:$J,0))</f>
        <v>#N/A</v>
      </c>
      <c r="T2324" s="278"/>
      <c r="U2324" s="278"/>
      <c r="V2324" s="278"/>
      <c r="W2324" s="278"/>
    </row>
    <row r="2325" spans="1:23" s="269" customFormat="1" ht="20.25">
      <c r="A2325" s="267"/>
      <c r="B2325" s="275"/>
      <c r="C2325" s="275"/>
      <c r="D2325" s="168" t="str">
        <f ca="1">IF(ISERROR($S2325),"",OFFSET('Smelter Reference List'!$C$4,$S2325-4,0)&amp;"")</f>
        <v/>
      </c>
      <c r="E2325" s="168" t="str">
        <f ca="1">IF(ISERROR($S2325),"",OFFSET('Smelter Reference List'!$D$4,$S2325-4,0)&amp;"")</f>
        <v/>
      </c>
      <c r="F2325" s="168" t="str">
        <f ca="1">IF(ISERROR($S2325),"",OFFSET('Smelter Reference List'!$E$4,$S2325-4,0))</f>
        <v/>
      </c>
      <c r="G2325" s="168" t="str">
        <f ca="1">IF(C2325=$U$4,"Enter smelter details", IF(ISERROR($S2325),"",OFFSET('Smelter Reference List'!$F$4,$S2325-4,0)))</f>
        <v/>
      </c>
      <c r="H2325" s="292" t="str">
        <f ca="1">IF(ISERROR($S2325),"",OFFSET('Smelter Reference List'!$G$4,$S2325-4,0))</f>
        <v/>
      </c>
      <c r="I2325" s="293" t="str">
        <f ca="1">IF(ISERROR($S2325),"",OFFSET('Smelter Reference List'!$H$4,$S2325-4,0))</f>
        <v/>
      </c>
      <c r="J2325" s="293" t="str">
        <f ca="1">IF(ISERROR($S2325),"",OFFSET('Smelter Reference List'!$I$4,$S2325-4,0))</f>
        <v/>
      </c>
      <c r="K2325" s="290"/>
      <c r="L2325" s="290"/>
      <c r="M2325" s="290"/>
      <c r="N2325" s="290"/>
      <c r="O2325" s="290"/>
      <c r="P2325" s="290"/>
      <c r="Q2325" s="291"/>
      <c r="R2325" s="276"/>
      <c r="S2325" s="277" t="e">
        <f>IF(OR(C2325="",C2325=T$4),NA(),MATCH($B2325&amp;$C2325,'Smelter Reference List'!$J:$J,0))</f>
        <v>#N/A</v>
      </c>
      <c r="T2325" s="278"/>
      <c r="U2325" s="278"/>
      <c r="V2325" s="278"/>
      <c r="W2325" s="278"/>
    </row>
    <row r="2326" spans="1:23" s="269" customFormat="1" ht="20.25">
      <c r="A2326" s="267"/>
      <c r="B2326" s="275"/>
      <c r="C2326" s="275"/>
      <c r="D2326" s="168" t="str">
        <f ca="1">IF(ISERROR($S2326),"",OFFSET('Smelter Reference List'!$C$4,$S2326-4,0)&amp;"")</f>
        <v/>
      </c>
      <c r="E2326" s="168" t="str">
        <f ca="1">IF(ISERROR($S2326),"",OFFSET('Smelter Reference List'!$D$4,$S2326-4,0)&amp;"")</f>
        <v/>
      </c>
      <c r="F2326" s="168" t="str">
        <f ca="1">IF(ISERROR($S2326),"",OFFSET('Smelter Reference List'!$E$4,$S2326-4,0))</f>
        <v/>
      </c>
      <c r="G2326" s="168" t="str">
        <f ca="1">IF(C2326=$U$4,"Enter smelter details", IF(ISERROR($S2326),"",OFFSET('Smelter Reference List'!$F$4,$S2326-4,0)))</f>
        <v/>
      </c>
      <c r="H2326" s="292" t="str">
        <f ca="1">IF(ISERROR($S2326),"",OFFSET('Smelter Reference List'!$G$4,$S2326-4,0))</f>
        <v/>
      </c>
      <c r="I2326" s="293" t="str">
        <f ca="1">IF(ISERROR($S2326),"",OFFSET('Smelter Reference List'!$H$4,$S2326-4,0))</f>
        <v/>
      </c>
      <c r="J2326" s="293" t="str">
        <f ca="1">IF(ISERROR($S2326),"",OFFSET('Smelter Reference List'!$I$4,$S2326-4,0))</f>
        <v/>
      </c>
      <c r="K2326" s="290"/>
      <c r="L2326" s="290"/>
      <c r="M2326" s="290"/>
      <c r="N2326" s="290"/>
      <c r="O2326" s="290"/>
      <c r="P2326" s="290"/>
      <c r="Q2326" s="291"/>
      <c r="R2326" s="276"/>
      <c r="S2326" s="277" t="e">
        <f>IF(OR(C2326="",C2326=T$4),NA(),MATCH($B2326&amp;$C2326,'Smelter Reference List'!$J:$J,0))</f>
        <v>#N/A</v>
      </c>
      <c r="T2326" s="278"/>
      <c r="U2326" s="278"/>
      <c r="V2326" s="278"/>
      <c r="W2326" s="278"/>
    </row>
    <row r="2327" spans="1:23" s="269" customFormat="1" ht="20.25">
      <c r="A2327" s="267"/>
      <c r="B2327" s="275"/>
      <c r="C2327" s="275"/>
      <c r="D2327" s="168" t="str">
        <f ca="1">IF(ISERROR($S2327),"",OFFSET('Smelter Reference List'!$C$4,$S2327-4,0)&amp;"")</f>
        <v/>
      </c>
      <c r="E2327" s="168" t="str">
        <f ca="1">IF(ISERROR($S2327),"",OFFSET('Smelter Reference List'!$D$4,$S2327-4,0)&amp;"")</f>
        <v/>
      </c>
      <c r="F2327" s="168" t="str">
        <f ca="1">IF(ISERROR($S2327),"",OFFSET('Smelter Reference List'!$E$4,$S2327-4,0))</f>
        <v/>
      </c>
      <c r="G2327" s="168" t="str">
        <f ca="1">IF(C2327=$U$4,"Enter smelter details", IF(ISERROR($S2327),"",OFFSET('Smelter Reference List'!$F$4,$S2327-4,0)))</f>
        <v/>
      </c>
      <c r="H2327" s="292" t="str">
        <f ca="1">IF(ISERROR($S2327),"",OFFSET('Smelter Reference List'!$G$4,$S2327-4,0))</f>
        <v/>
      </c>
      <c r="I2327" s="293" t="str">
        <f ca="1">IF(ISERROR($S2327),"",OFFSET('Smelter Reference List'!$H$4,$S2327-4,0))</f>
        <v/>
      </c>
      <c r="J2327" s="293" t="str">
        <f ca="1">IF(ISERROR($S2327),"",OFFSET('Smelter Reference List'!$I$4,$S2327-4,0))</f>
        <v/>
      </c>
      <c r="K2327" s="290"/>
      <c r="L2327" s="290"/>
      <c r="M2327" s="290"/>
      <c r="N2327" s="290"/>
      <c r="O2327" s="290"/>
      <c r="P2327" s="290"/>
      <c r="Q2327" s="291"/>
      <c r="R2327" s="276"/>
      <c r="S2327" s="277" t="e">
        <f>IF(OR(C2327="",C2327=T$4),NA(),MATCH($B2327&amp;$C2327,'Smelter Reference List'!$J:$J,0))</f>
        <v>#N/A</v>
      </c>
      <c r="T2327" s="278"/>
      <c r="U2327" s="278"/>
      <c r="V2327" s="278"/>
      <c r="W2327" s="278"/>
    </row>
    <row r="2328" spans="1:23" s="269" customFormat="1" ht="20.25">
      <c r="A2328" s="267"/>
      <c r="B2328" s="275"/>
      <c r="C2328" s="275"/>
      <c r="D2328" s="168" t="str">
        <f ca="1">IF(ISERROR($S2328),"",OFFSET('Smelter Reference List'!$C$4,$S2328-4,0)&amp;"")</f>
        <v/>
      </c>
      <c r="E2328" s="168" t="str">
        <f ca="1">IF(ISERROR($S2328),"",OFFSET('Smelter Reference List'!$D$4,$S2328-4,0)&amp;"")</f>
        <v/>
      </c>
      <c r="F2328" s="168" t="str">
        <f ca="1">IF(ISERROR($S2328),"",OFFSET('Smelter Reference List'!$E$4,$S2328-4,0))</f>
        <v/>
      </c>
      <c r="G2328" s="168" t="str">
        <f ca="1">IF(C2328=$U$4,"Enter smelter details", IF(ISERROR($S2328),"",OFFSET('Smelter Reference List'!$F$4,$S2328-4,0)))</f>
        <v/>
      </c>
      <c r="H2328" s="292" t="str">
        <f ca="1">IF(ISERROR($S2328),"",OFFSET('Smelter Reference List'!$G$4,$S2328-4,0))</f>
        <v/>
      </c>
      <c r="I2328" s="293" t="str">
        <f ca="1">IF(ISERROR($S2328),"",OFFSET('Smelter Reference List'!$H$4,$S2328-4,0))</f>
        <v/>
      </c>
      <c r="J2328" s="293" t="str">
        <f ca="1">IF(ISERROR($S2328),"",OFFSET('Smelter Reference List'!$I$4,$S2328-4,0))</f>
        <v/>
      </c>
      <c r="K2328" s="290"/>
      <c r="L2328" s="290"/>
      <c r="M2328" s="290"/>
      <c r="N2328" s="290"/>
      <c r="O2328" s="290"/>
      <c r="P2328" s="290"/>
      <c r="Q2328" s="291"/>
      <c r="R2328" s="276"/>
      <c r="S2328" s="277" t="e">
        <f>IF(OR(C2328="",C2328=T$4),NA(),MATCH($B2328&amp;$C2328,'Smelter Reference List'!$J:$J,0))</f>
        <v>#N/A</v>
      </c>
      <c r="T2328" s="278"/>
      <c r="U2328" s="278"/>
      <c r="V2328" s="278"/>
      <c r="W2328" s="278"/>
    </row>
    <row r="2329" spans="1:23" s="269" customFormat="1" ht="20.25">
      <c r="A2329" s="267"/>
      <c r="B2329" s="275"/>
      <c r="C2329" s="275"/>
      <c r="D2329" s="168" t="str">
        <f ca="1">IF(ISERROR($S2329),"",OFFSET('Smelter Reference List'!$C$4,$S2329-4,0)&amp;"")</f>
        <v/>
      </c>
      <c r="E2329" s="168" t="str">
        <f ca="1">IF(ISERROR($S2329),"",OFFSET('Smelter Reference List'!$D$4,$S2329-4,0)&amp;"")</f>
        <v/>
      </c>
      <c r="F2329" s="168" t="str">
        <f ca="1">IF(ISERROR($S2329),"",OFFSET('Smelter Reference List'!$E$4,$S2329-4,0))</f>
        <v/>
      </c>
      <c r="G2329" s="168" t="str">
        <f ca="1">IF(C2329=$U$4,"Enter smelter details", IF(ISERROR($S2329),"",OFFSET('Smelter Reference List'!$F$4,$S2329-4,0)))</f>
        <v/>
      </c>
      <c r="H2329" s="292" t="str">
        <f ca="1">IF(ISERROR($S2329),"",OFFSET('Smelter Reference List'!$G$4,$S2329-4,0))</f>
        <v/>
      </c>
      <c r="I2329" s="293" t="str">
        <f ca="1">IF(ISERROR($S2329),"",OFFSET('Smelter Reference List'!$H$4,$S2329-4,0))</f>
        <v/>
      </c>
      <c r="J2329" s="293" t="str">
        <f ca="1">IF(ISERROR($S2329),"",OFFSET('Smelter Reference List'!$I$4,$S2329-4,0))</f>
        <v/>
      </c>
      <c r="K2329" s="290"/>
      <c r="L2329" s="290"/>
      <c r="M2329" s="290"/>
      <c r="N2329" s="290"/>
      <c r="O2329" s="290"/>
      <c r="P2329" s="290"/>
      <c r="Q2329" s="291"/>
      <c r="R2329" s="276"/>
      <c r="S2329" s="277" t="e">
        <f>IF(OR(C2329="",C2329=T$4),NA(),MATCH($B2329&amp;$C2329,'Smelter Reference List'!$J:$J,0))</f>
        <v>#N/A</v>
      </c>
      <c r="T2329" s="278"/>
      <c r="U2329" s="278"/>
      <c r="V2329" s="278"/>
      <c r="W2329" s="278"/>
    </row>
    <row r="2330" spans="1:23" s="269" customFormat="1" ht="20.25">
      <c r="A2330" s="267"/>
      <c r="B2330" s="275"/>
      <c r="C2330" s="275"/>
      <c r="D2330" s="168" t="str">
        <f ca="1">IF(ISERROR($S2330),"",OFFSET('Smelter Reference List'!$C$4,$S2330-4,0)&amp;"")</f>
        <v/>
      </c>
      <c r="E2330" s="168" t="str">
        <f ca="1">IF(ISERROR($S2330),"",OFFSET('Smelter Reference List'!$D$4,$S2330-4,0)&amp;"")</f>
        <v/>
      </c>
      <c r="F2330" s="168" t="str">
        <f ca="1">IF(ISERROR($S2330),"",OFFSET('Smelter Reference List'!$E$4,$S2330-4,0))</f>
        <v/>
      </c>
      <c r="G2330" s="168" t="str">
        <f ca="1">IF(C2330=$U$4,"Enter smelter details", IF(ISERROR($S2330),"",OFFSET('Smelter Reference List'!$F$4,$S2330-4,0)))</f>
        <v/>
      </c>
      <c r="H2330" s="292" t="str">
        <f ca="1">IF(ISERROR($S2330),"",OFFSET('Smelter Reference List'!$G$4,$S2330-4,0))</f>
        <v/>
      </c>
      <c r="I2330" s="293" t="str">
        <f ca="1">IF(ISERROR($S2330),"",OFFSET('Smelter Reference List'!$H$4,$S2330-4,0))</f>
        <v/>
      </c>
      <c r="J2330" s="293" t="str">
        <f ca="1">IF(ISERROR($S2330),"",OFFSET('Smelter Reference List'!$I$4,$S2330-4,0))</f>
        <v/>
      </c>
      <c r="K2330" s="290"/>
      <c r="L2330" s="290"/>
      <c r="M2330" s="290"/>
      <c r="N2330" s="290"/>
      <c r="O2330" s="290"/>
      <c r="P2330" s="290"/>
      <c r="Q2330" s="291"/>
      <c r="R2330" s="276"/>
      <c r="S2330" s="277" t="e">
        <f>IF(OR(C2330="",C2330=T$4),NA(),MATCH($B2330&amp;$C2330,'Smelter Reference List'!$J:$J,0))</f>
        <v>#N/A</v>
      </c>
      <c r="T2330" s="278"/>
      <c r="U2330" s="278"/>
      <c r="V2330" s="278"/>
      <c r="W2330" s="278"/>
    </row>
    <row r="2331" spans="1:23" s="269" customFormat="1" ht="20.25">
      <c r="A2331" s="267"/>
      <c r="B2331" s="275"/>
      <c r="C2331" s="275"/>
      <c r="D2331" s="168" t="str">
        <f ca="1">IF(ISERROR($S2331),"",OFFSET('Smelter Reference List'!$C$4,$S2331-4,0)&amp;"")</f>
        <v/>
      </c>
      <c r="E2331" s="168" t="str">
        <f ca="1">IF(ISERROR($S2331),"",OFFSET('Smelter Reference List'!$D$4,$S2331-4,0)&amp;"")</f>
        <v/>
      </c>
      <c r="F2331" s="168" t="str">
        <f ca="1">IF(ISERROR($S2331),"",OFFSET('Smelter Reference List'!$E$4,$S2331-4,0))</f>
        <v/>
      </c>
      <c r="G2331" s="168" t="str">
        <f ca="1">IF(C2331=$U$4,"Enter smelter details", IF(ISERROR($S2331),"",OFFSET('Smelter Reference List'!$F$4,$S2331-4,0)))</f>
        <v/>
      </c>
      <c r="H2331" s="292" t="str">
        <f ca="1">IF(ISERROR($S2331),"",OFFSET('Smelter Reference List'!$G$4,$S2331-4,0))</f>
        <v/>
      </c>
      <c r="I2331" s="293" t="str">
        <f ca="1">IF(ISERROR($S2331),"",OFFSET('Smelter Reference List'!$H$4,$S2331-4,0))</f>
        <v/>
      </c>
      <c r="J2331" s="293" t="str">
        <f ca="1">IF(ISERROR($S2331),"",OFFSET('Smelter Reference List'!$I$4,$S2331-4,0))</f>
        <v/>
      </c>
      <c r="K2331" s="290"/>
      <c r="L2331" s="290"/>
      <c r="M2331" s="290"/>
      <c r="N2331" s="290"/>
      <c r="O2331" s="290"/>
      <c r="P2331" s="290"/>
      <c r="Q2331" s="291"/>
      <c r="R2331" s="276"/>
      <c r="S2331" s="277" t="e">
        <f>IF(OR(C2331="",C2331=T$4),NA(),MATCH($B2331&amp;$C2331,'Smelter Reference List'!$J:$J,0))</f>
        <v>#N/A</v>
      </c>
      <c r="T2331" s="278"/>
      <c r="U2331" s="278"/>
      <c r="V2331" s="278"/>
      <c r="W2331" s="278"/>
    </row>
    <row r="2332" spans="1:23" s="269" customFormat="1" ht="20.25">
      <c r="A2332" s="267"/>
      <c r="B2332" s="275"/>
      <c r="C2332" s="275"/>
      <c r="D2332" s="168" t="str">
        <f ca="1">IF(ISERROR($S2332),"",OFFSET('Smelter Reference List'!$C$4,$S2332-4,0)&amp;"")</f>
        <v/>
      </c>
      <c r="E2332" s="168" t="str">
        <f ca="1">IF(ISERROR($S2332),"",OFFSET('Smelter Reference List'!$D$4,$S2332-4,0)&amp;"")</f>
        <v/>
      </c>
      <c r="F2332" s="168" t="str">
        <f ca="1">IF(ISERROR($S2332),"",OFFSET('Smelter Reference List'!$E$4,$S2332-4,0))</f>
        <v/>
      </c>
      <c r="G2332" s="168" t="str">
        <f ca="1">IF(C2332=$U$4,"Enter smelter details", IF(ISERROR($S2332),"",OFFSET('Smelter Reference List'!$F$4,$S2332-4,0)))</f>
        <v/>
      </c>
      <c r="H2332" s="292" t="str">
        <f ca="1">IF(ISERROR($S2332),"",OFFSET('Smelter Reference List'!$G$4,$S2332-4,0))</f>
        <v/>
      </c>
      <c r="I2332" s="293" t="str">
        <f ca="1">IF(ISERROR($S2332),"",OFFSET('Smelter Reference List'!$H$4,$S2332-4,0))</f>
        <v/>
      </c>
      <c r="J2332" s="293" t="str">
        <f ca="1">IF(ISERROR($S2332),"",OFFSET('Smelter Reference List'!$I$4,$S2332-4,0))</f>
        <v/>
      </c>
      <c r="K2332" s="290"/>
      <c r="L2332" s="290"/>
      <c r="M2332" s="290"/>
      <c r="N2332" s="290"/>
      <c r="O2332" s="290"/>
      <c r="P2332" s="290"/>
      <c r="Q2332" s="291"/>
      <c r="R2332" s="276"/>
      <c r="S2332" s="277" t="e">
        <f>IF(OR(C2332="",C2332=T$4),NA(),MATCH($B2332&amp;$C2332,'Smelter Reference List'!$J:$J,0))</f>
        <v>#N/A</v>
      </c>
      <c r="T2332" s="278"/>
      <c r="U2332" s="278"/>
      <c r="V2332" s="278"/>
      <c r="W2332" s="278"/>
    </row>
    <row r="2333" spans="1:23" s="269" customFormat="1" ht="20.25">
      <c r="A2333" s="267"/>
      <c r="B2333" s="275"/>
      <c r="C2333" s="275"/>
      <c r="D2333" s="168" t="str">
        <f ca="1">IF(ISERROR($S2333),"",OFFSET('Smelter Reference List'!$C$4,$S2333-4,0)&amp;"")</f>
        <v/>
      </c>
      <c r="E2333" s="168" t="str">
        <f ca="1">IF(ISERROR($S2333),"",OFFSET('Smelter Reference List'!$D$4,$S2333-4,0)&amp;"")</f>
        <v/>
      </c>
      <c r="F2333" s="168" t="str">
        <f ca="1">IF(ISERROR($S2333),"",OFFSET('Smelter Reference List'!$E$4,$S2333-4,0))</f>
        <v/>
      </c>
      <c r="G2333" s="168" t="str">
        <f ca="1">IF(C2333=$U$4,"Enter smelter details", IF(ISERROR($S2333),"",OFFSET('Smelter Reference List'!$F$4,$S2333-4,0)))</f>
        <v/>
      </c>
      <c r="H2333" s="292" t="str">
        <f ca="1">IF(ISERROR($S2333),"",OFFSET('Smelter Reference List'!$G$4,$S2333-4,0))</f>
        <v/>
      </c>
      <c r="I2333" s="293" t="str">
        <f ca="1">IF(ISERROR($S2333),"",OFFSET('Smelter Reference List'!$H$4,$S2333-4,0))</f>
        <v/>
      </c>
      <c r="J2333" s="293" t="str">
        <f ca="1">IF(ISERROR($S2333),"",OFFSET('Smelter Reference List'!$I$4,$S2333-4,0))</f>
        <v/>
      </c>
      <c r="K2333" s="290"/>
      <c r="L2333" s="290"/>
      <c r="M2333" s="290"/>
      <c r="N2333" s="290"/>
      <c r="O2333" s="290"/>
      <c r="P2333" s="290"/>
      <c r="Q2333" s="291"/>
      <c r="R2333" s="276"/>
      <c r="S2333" s="277" t="e">
        <f>IF(OR(C2333="",C2333=T$4),NA(),MATCH($B2333&amp;$C2333,'Smelter Reference List'!$J:$J,0))</f>
        <v>#N/A</v>
      </c>
      <c r="T2333" s="278"/>
      <c r="U2333" s="278"/>
      <c r="V2333" s="278"/>
      <c r="W2333" s="278"/>
    </row>
    <row r="2334" spans="1:23" s="269" customFormat="1" ht="20.25">
      <c r="A2334" s="267"/>
      <c r="B2334" s="275"/>
      <c r="C2334" s="275"/>
      <c r="D2334" s="168" t="str">
        <f ca="1">IF(ISERROR($S2334),"",OFFSET('Smelter Reference List'!$C$4,$S2334-4,0)&amp;"")</f>
        <v/>
      </c>
      <c r="E2334" s="168" t="str">
        <f ca="1">IF(ISERROR($S2334),"",OFFSET('Smelter Reference List'!$D$4,$S2334-4,0)&amp;"")</f>
        <v/>
      </c>
      <c r="F2334" s="168" t="str">
        <f ca="1">IF(ISERROR($S2334),"",OFFSET('Smelter Reference List'!$E$4,$S2334-4,0))</f>
        <v/>
      </c>
      <c r="G2334" s="168" t="str">
        <f ca="1">IF(C2334=$U$4,"Enter smelter details", IF(ISERROR($S2334),"",OFFSET('Smelter Reference List'!$F$4,$S2334-4,0)))</f>
        <v/>
      </c>
      <c r="H2334" s="292" t="str">
        <f ca="1">IF(ISERROR($S2334),"",OFFSET('Smelter Reference List'!$G$4,$S2334-4,0))</f>
        <v/>
      </c>
      <c r="I2334" s="293" t="str">
        <f ca="1">IF(ISERROR($S2334),"",OFFSET('Smelter Reference List'!$H$4,$S2334-4,0))</f>
        <v/>
      </c>
      <c r="J2334" s="293" t="str">
        <f ca="1">IF(ISERROR($S2334),"",OFFSET('Smelter Reference List'!$I$4,$S2334-4,0))</f>
        <v/>
      </c>
      <c r="K2334" s="290"/>
      <c r="L2334" s="290"/>
      <c r="M2334" s="290"/>
      <c r="N2334" s="290"/>
      <c r="O2334" s="290"/>
      <c r="P2334" s="290"/>
      <c r="Q2334" s="291"/>
      <c r="R2334" s="276"/>
      <c r="S2334" s="277" t="e">
        <f>IF(OR(C2334="",C2334=T$4),NA(),MATCH($B2334&amp;$C2334,'Smelter Reference List'!$J:$J,0))</f>
        <v>#N/A</v>
      </c>
      <c r="T2334" s="278"/>
      <c r="U2334" s="278"/>
      <c r="V2334" s="278"/>
      <c r="W2334" s="278"/>
    </row>
    <row r="2335" spans="1:23" s="269" customFormat="1" ht="20.25">
      <c r="A2335" s="267"/>
      <c r="B2335" s="275"/>
      <c r="C2335" s="275"/>
      <c r="D2335" s="168" t="str">
        <f ca="1">IF(ISERROR($S2335),"",OFFSET('Smelter Reference List'!$C$4,$S2335-4,0)&amp;"")</f>
        <v/>
      </c>
      <c r="E2335" s="168" t="str">
        <f ca="1">IF(ISERROR($S2335),"",OFFSET('Smelter Reference List'!$D$4,$S2335-4,0)&amp;"")</f>
        <v/>
      </c>
      <c r="F2335" s="168" t="str">
        <f ca="1">IF(ISERROR($S2335),"",OFFSET('Smelter Reference List'!$E$4,$S2335-4,0))</f>
        <v/>
      </c>
      <c r="G2335" s="168" t="str">
        <f ca="1">IF(C2335=$U$4,"Enter smelter details", IF(ISERROR($S2335),"",OFFSET('Smelter Reference List'!$F$4,$S2335-4,0)))</f>
        <v/>
      </c>
      <c r="H2335" s="292" t="str">
        <f ca="1">IF(ISERROR($S2335),"",OFFSET('Smelter Reference List'!$G$4,$S2335-4,0))</f>
        <v/>
      </c>
      <c r="I2335" s="293" t="str">
        <f ca="1">IF(ISERROR($S2335),"",OFFSET('Smelter Reference List'!$H$4,$S2335-4,0))</f>
        <v/>
      </c>
      <c r="J2335" s="293" t="str">
        <f ca="1">IF(ISERROR($S2335),"",OFFSET('Smelter Reference List'!$I$4,$S2335-4,0))</f>
        <v/>
      </c>
      <c r="K2335" s="290"/>
      <c r="L2335" s="290"/>
      <c r="M2335" s="290"/>
      <c r="N2335" s="290"/>
      <c r="O2335" s="290"/>
      <c r="P2335" s="290"/>
      <c r="Q2335" s="291"/>
      <c r="R2335" s="276"/>
      <c r="S2335" s="277" t="e">
        <f>IF(OR(C2335="",C2335=T$4),NA(),MATCH($B2335&amp;$C2335,'Smelter Reference List'!$J:$J,0))</f>
        <v>#N/A</v>
      </c>
      <c r="T2335" s="278"/>
      <c r="U2335" s="278"/>
      <c r="V2335" s="278"/>
      <c r="W2335" s="278"/>
    </row>
    <row r="2336" spans="1:23" s="269" customFormat="1" ht="20.25">
      <c r="A2336" s="267"/>
      <c r="B2336" s="275"/>
      <c r="C2336" s="275"/>
      <c r="D2336" s="168" t="str">
        <f ca="1">IF(ISERROR($S2336),"",OFFSET('Smelter Reference List'!$C$4,$S2336-4,0)&amp;"")</f>
        <v/>
      </c>
      <c r="E2336" s="168" t="str">
        <f ca="1">IF(ISERROR($S2336),"",OFFSET('Smelter Reference List'!$D$4,$S2336-4,0)&amp;"")</f>
        <v/>
      </c>
      <c r="F2336" s="168" t="str">
        <f ca="1">IF(ISERROR($S2336),"",OFFSET('Smelter Reference List'!$E$4,$S2336-4,0))</f>
        <v/>
      </c>
      <c r="G2336" s="168" t="str">
        <f ca="1">IF(C2336=$U$4,"Enter smelter details", IF(ISERROR($S2336),"",OFFSET('Smelter Reference List'!$F$4,$S2336-4,0)))</f>
        <v/>
      </c>
      <c r="H2336" s="292" t="str">
        <f ca="1">IF(ISERROR($S2336),"",OFFSET('Smelter Reference List'!$G$4,$S2336-4,0))</f>
        <v/>
      </c>
      <c r="I2336" s="293" t="str">
        <f ca="1">IF(ISERROR($S2336),"",OFFSET('Smelter Reference List'!$H$4,$S2336-4,0))</f>
        <v/>
      </c>
      <c r="J2336" s="293" t="str">
        <f ca="1">IF(ISERROR($S2336),"",OFFSET('Smelter Reference List'!$I$4,$S2336-4,0))</f>
        <v/>
      </c>
      <c r="K2336" s="290"/>
      <c r="L2336" s="290"/>
      <c r="M2336" s="290"/>
      <c r="N2336" s="290"/>
      <c r="O2336" s="290"/>
      <c r="P2336" s="290"/>
      <c r="Q2336" s="291"/>
      <c r="R2336" s="276"/>
      <c r="S2336" s="277" t="e">
        <f>IF(OR(C2336="",C2336=T$4),NA(),MATCH($B2336&amp;$C2336,'Smelter Reference List'!$J:$J,0))</f>
        <v>#N/A</v>
      </c>
      <c r="T2336" s="278"/>
      <c r="U2336" s="278"/>
      <c r="V2336" s="278"/>
      <c r="W2336" s="278"/>
    </row>
    <row r="2337" spans="1:23" s="269" customFormat="1" ht="20.25">
      <c r="A2337" s="267"/>
      <c r="B2337" s="275"/>
      <c r="C2337" s="275"/>
      <c r="D2337" s="168" t="str">
        <f ca="1">IF(ISERROR($S2337),"",OFFSET('Smelter Reference List'!$C$4,$S2337-4,0)&amp;"")</f>
        <v/>
      </c>
      <c r="E2337" s="168" t="str">
        <f ca="1">IF(ISERROR($S2337),"",OFFSET('Smelter Reference List'!$D$4,$S2337-4,0)&amp;"")</f>
        <v/>
      </c>
      <c r="F2337" s="168" t="str">
        <f ca="1">IF(ISERROR($S2337),"",OFFSET('Smelter Reference List'!$E$4,$S2337-4,0))</f>
        <v/>
      </c>
      <c r="G2337" s="168" t="str">
        <f ca="1">IF(C2337=$U$4,"Enter smelter details", IF(ISERROR($S2337),"",OFFSET('Smelter Reference List'!$F$4,$S2337-4,0)))</f>
        <v/>
      </c>
      <c r="H2337" s="292" t="str">
        <f ca="1">IF(ISERROR($S2337),"",OFFSET('Smelter Reference List'!$G$4,$S2337-4,0))</f>
        <v/>
      </c>
      <c r="I2337" s="293" t="str">
        <f ca="1">IF(ISERROR($S2337),"",OFFSET('Smelter Reference List'!$H$4,$S2337-4,0))</f>
        <v/>
      </c>
      <c r="J2337" s="293" t="str">
        <f ca="1">IF(ISERROR($S2337),"",OFFSET('Smelter Reference List'!$I$4,$S2337-4,0))</f>
        <v/>
      </c>
      <c r="K2337" s="290"/>
      <c r="L2337" s="290"/>
      <c r="M2337" s="290"/>
      <c r="N2337" s="290"/>
      <c r="O2337" s="290"/>
      <c r="P2337" s="290"/>
      <c r="Q2337" s="291"/>
      <c r="R2337" s="276"/>
      <c r="S2337" s="277" t="e">
        <f>IF(OR(C2337="",C2337=T$4),NA(),MATCH($B2337&amp;$C2337,'Smelter Reference List'!$J:$J,0))</f>
        <v>#N/A</v>
      </c>
      <c r="T2337" s="278"/>
      <c r="U2337" s="278"/>
      <c r="V2337" s="278"/>
      <c r="W2337" s="278"/>
    </row>
    <row r="2338" spans="1:23" s="269" customFormat="1" ht="20.25">
      <c r="A2338" s="267"/>
      <c r="B2338" s="275"/>
      <c r="C2338" s="275"/>
      <c r="D2338" s="168" t="str">
        <f ca="1">IF(ISERROR($S2338),"",OFFSET('Smelter Reference List'!$C$4,$S2338-4,0)&amp;"")</f>
        <v/>
      </c>
      <c r="E2338" s="168" t="str">
        <f ca="1">IF(ISERROR($S2338),"",OFFSET('Smelter Reference List'!$D$4,$S2338-4,0)&amp;"")</f>
        <v/>
      </c>
      <c r="F2338" s="168" t="str">
        <f ca="1">IF(ISERROR($S2338),"",OFFSET('Smelter Reference List'!$E$4,$S2338-4,0))</f>
        <v/>
      </c>
      <c r="G2338" s="168" t="str">
        <f ca="1">IF(C2338=$U$4,"Enter smelter details", IF(ISERROR($S2338),"",OFFSET('Smelter Reference List'!$F$4,$S2338-4,0)))</f>
        <v/>
      </c>
      <c r="H2338" s="292" t="str">
        <f ca="1">IF(ISERROR($S2338),"",OFFSET('Smelter Reference List'!$G$4,$S2338-4,0))</f>
        <v/>
      </c>
      <c r="I2338" s="293" t="str">
        <f ca="1">IF(ISERROR($S2338),"",OFFSET('Smelter Reference List'!$H$4,$S2338-4,0))</f>
        <v/>
      </c>
      <c r="J2338" s="293" t="str">
        <f ca="1">IF(ISERROR($S2338),"",OFFSET('Smelter Reference List'!$I$4,$S2338-4,0))</f>
        <v/>
      </c>
      <c r="K2338" s="290"/>
      <c r="L2338" s="290"/>
      <c r="M2338" s="290"/>
      <c r="N2338" s="290"/>
      <c r="O2338" s="290"/>
      <c r="P2338" s="290"/>
      <c r="Q2338" s="291"/>
      <c r="R2338" s="276"/>
      <c r="S2338" s="277" t="e">
        <f>IF(OR(C2338="",C2338=T$4),NA(),MATCH($B2338&amp;$C2338,'Smelter Reference List'!$J:$J,0))</f>
        <v>#N/A</v>
      </c>
      <c r="T2338" s="278"/>
      <c r="U2338" s="278"/>
      <c r="V2338" s="278"/>
      <c r="W2338" s="278"/>
    </row>
    <row r="2339" spans="1:23" s="269" customFormat="1" ht="20.25">
      <c r="A2339" s="267"/>
      <c r="B2339" s="275"/>
      <c r="C2339" s="275"/>
      <c r="D2339" s="168" t="str">
        <f ca="1">IF(ISERROR($S2339),"",OFFSET('Smelter Reference List'!$C$4,$S2339-4,0)&amp;"")</f>
        <v/>
      </c>
      <c r="E2339" s="168" t="str">
        <f ca="1">IF(ISERROR($S2339),"",OFFSET('Smelter Reference List'!$D$4,$S2339-4,0)&amp;"")</f>
        <v/>
      </c>
      <c r="F2339" s="168" t="str">
        <f ca="1">IF(ISERROR($S2339),"",OFFSET('Smelter Reference List'!$E$4,$S2339-4,0))</f>
        <v/>
      </c>
      <c r="G2339" s="168" t="str">
        <f ca="1">IF(C2339=$U$4,"Enter smelter details", IF(ISERROR($S2339),"",OFFSET('Smelter Reference List'!$F$4,$S2339-4,0)))</f>
        <v/>
      </c>
      <c r="H2339" s="292" t="str">
        <f ca="1">IF(ISERROR($S2339),"",OFFSET('Smelter Reference List'!$G$4,$S2339-4,0))</f>
        <v/>
      </c>
      <c r="I2339" s="293" t="str">
        <f ca="1">IF(ISERROR($S2339),"",OFFSET('Smelter Reference List'!$H$4,$S2339-4,0))</f>
        <v/>
      </c>
      <c r="J2339" s="293" t="str">
        <f ca="1">IF(ISERROR($S2339),"",OFFSET('Smelter Reference List'!$I$4,$S2339-4,0))</f>
        <v/>
      </c>
      <c r="K2339" s="290"/>
      <c r="L2339" s="290"/>
      <c r="M2339" s="290"/>
      <c r="N2339" s="290"/>
      <c r="O2339" s="290"/>
      <c r="P2339" s="290"/>
      <c r="Q2339" s="291"/>
      <c r="R2339" s="276"/>
      <c r="S2339" s="277" t="e">
        <f>IF(OR(C2339="",C2339=T$4),NA(),MATCH($B2339&amp;$C2339,'Smelter Reference List'!$J:$J,0))</f>
        <v>#N/A</v>
      </c>
      <c r="T2339" s="278"/>
      <c r="U2339" s="278"/>
      <c r="V2339" s="278"/>
      <c r="W2339" s="278"/>
    </row>
    <row r="2340" spans="1:23" s="269" customFormat="1" ht="20.25">
      <c r="A2340" s="267"/>
      <c r="B2340" s="275"/>
      <c r="C2340" s="275"/>
      <c r="D2340" s="168" t="str">
        <f ca="1">IF(ISERROR($S2340),"",OFFSET('Smelter Reference List'!$C$4,$S2340-4,0)&amp;"")</f>
        <v/>
      </c>
      <c r="E2340" s="168" t="str">
        <f ca="1">IF(ISERROR($S2340),"",OFFSET('Smelter Reference List'!$D$4,$S2340-4,0)&amp;"")</f>
        <v/>
      </c>
      <c r="F2340" s="168" t="str">
        <f ca="1">IF(ISERROR($S2340),"",OFFSET('Smelter Reference List'!$E$4,$S2340-4,0))</f>
        <v/>
      </c>
      <c r="G2340" s="168" t="str">
        <f ca="1">IF(C2340=$U$4,"Enter smelter details", IF(ISERROR($S2340),"",OFFSET('Smelter Reference List'!$F$4,$S2340-4,0)))</f>
        <v/>
      </c>
      <c r="H2340" s="292" t="str">
        <f ca="1">IF(ISERROR($S2340),"",OFFSET('Smelter Reference List'!$G$4,$S2340-4,0))</f>
        <v/>
      </c>
      <c r="I2340" s="293" t="str">
        <f ca="1">IF(ISERROR($S2340),"",OFFSET('Smelter Reference List'!$H$4,$S2340-4,0))</f>
        <v/>
      </c>
      <c r="J2340" s="293" t="str">
        <f ca="1">IF(ISERROR($S2340),"",OFFSET('Smelter Reference List'!$I$4,$S2340-4,0))</f>
        <v/>
      </c>
      <c r="K2340" s="290"/>
      <c r="L2340" s="290"/>
      <c r="M2340" s="290"/>
      <c r="N2340" s="290"/>
      <c r="O2340" s="290"/>
      <c r="P2340" s="290"/>
      <c r="Q2340" s="291"/>
      <c r="R2340" s="276"/>
      <c r="S2340" s="277" t="e">
        <f>IF(OR(C2340="",C2340=T$4),NA(),MATCH($B2340&amp;$C2340,'Smelter Reference List'!$J:$J,0))</f>
        <v>#N/A</v>
      </c>
      <c r="T2340" s="278"/>
      <c r="U2340" s="278"/>
      <c r="V2340" s="278"/>
      <c r="W2340" s="278"/>
    </row>
    <row r="2341" spans="1:23" s="269" customFormat="1" ht="20.25">
      <c r="A2341" s="267"/>
      <c r="B2341" s="275"/>
      <c r="C2341" s="275"/>
      <c r="D2341" s="168" t="str">
        <f ca="1">IF(ISERROR($S2341),"",OFFSET('Smelter Reference List'!$C$4,$S2341-4,0)&amp;"")</f>
        <v/>
      </c>
      <c r="E2341" s="168" t="str">
        <f ca="1">IF(ISERROR($S2341),"",OFFSET('Smelter Reference List'!$D$4,$S2341-4,0)&amp;"")</f>
        <v/>
      </c>
      <c r="F2341" s="168" t="str">
        <f ca="1">IF(ISERROR($S2341),"",OFFSET('Smelter Reference List'!$E$4,$S2341-4,0))</f>
        <v/>
      </c>
      <c r="G2341" s="168" t="str">
        <f ca="1">IF(C2341=$U$4,"Enter smelter details", IF(ISERROR($S2341),"",OFFSET('Smelter Reference List'!$F$4,$S2341-4,0)))</f>
        <v/>
      </c>
      <c r="H2341" s="292" t="str">
        <f ca="1">IF(ISERROR($S2341),"",OFFSET('Smelter Reference List'!$G$4,$S2341-4,0))</f>
        <v/>
      </c>
      <c r="I2341" s="293" t="str">
        <f ca="1">IF(ISERROR($S2341),"",OFFSET('Smelter Reference List'!$H$4,$S2341-4,0))</f>
        <v/>
      </c>
      <c r="J2341" s="293" t="str">
        <f ca="1">IF(ISERROR($S2341),"",OFFSET('Smelter Reference List'!$I$4,$S2341-4,0))</f>
        <v/>
      </c>
      <c r="K2341" s="290"/>
      <c r="L2341" s="290"/>
      <c r="M2341" s="290"/>
      <c r="N2341" s="290"/>
      <c r="O2341" s="290"/>
      <c r="P2341" s="290"/>
      <c r="Q2341" s="291"/>
      <c r="R2341" s="276"/>
      <c r="S2341" s="277" t="e">
        <f>IF(OR(C2341="",C2341=T$4),NA(),MATCH($B2341&amp;$C2341,'Smelter Reference List'!$J:$J,0))</f>
        <v>#N/A</v>
      </c>
      <c r="T2341" s="278"/>
      <c r="U2341" s="278"/>
      <c r="V2341" s="278"/>
      <c r="W2341" s="278"/>
    </row>
    <row r="2342" spans="1:23" s="269" customFormat="1" ht="20.25">
      <c r="A2342" s="267"/>
      <c r="B2342" s="275"/>
      <c r="C2342" s="275"/>
      <c r="D2342" s="168" t="str">
        <f ca="1">IF(ISERROR($S2342),"",OFFSET('Smelter Reference List'!$C$4,$S2342-4,0)&amp;"")</f>
        <v/>
      </c>
      <c r="E2342" s="168" t="str">
        <f ca="1">IF(ISERROR($S2342),"",OFFSET('Smelter Reference List'!$D$4,$S2342-4,0)&amp;"")</f>
        <v/>
      </c>
      <c r="F2342" s="168" t="str">
        <f ca="1">IF(ISERROR($S2342),"",OFFSET('Smelter Reference List'!$E$4,$S2342-4,0))</f>
        <v/>
      </c>
      <c r="G2342" s="168" t="str">
        <f ca="1">IF(C2342=$U$4,"Enter smelter details", IF(ISERROR($S2342),"",OFFSET('Smelter Reference List'!$F$4,$S2342-4,0)))</f>
        <v/>
      </c>
      <c r="H2342" s="292" t="str">
        <f ca="1">IF(ISERROR($S2342),"",OFFSET('Smelter Reference List'!$G$4,$S2342-4,0))</f>
        <v/>
      </c>
      <c r="I2342" s="293" t="str">
        <f ca="1">IF(ISERROR($S2342),"",OFFSET('Smelter Reference List'!$H$4,$S2342-4,0))</f>
        <v/>
      </c>
      <c r="J2342" s="293" t="str">
        <f ca="1">IF(ISERROR($S2342),"",OFFSET('Smelter Reference List'!$I$4,$S2342-4,0))</f>
        <v/>
      </c>
      <c r="K2342" s="290"/>
      <c r="L2342" s="290"/>
      <c r="M2342" s="290"/>
      <c r="N2342" s="290"/>
      <c r="O2342" s="290"/>
      <c r="P2342" s="290"/>
      <c r="Q2342" s="291"/>
      <c r="R2342" s="276"/>
      <c r="S2342" s="277" t="e">
        <f>IF(OR(C2342="",C2342=T$4),NA(),MATCH($B2342&amp;$C2342,'Smelter Reference List'!$J:$J,0))</f>
        <v>#N/A</v>
      </c>
      <c r="T2342" s="278"/>
      <c r="U2342" s="278"/>
      <c r="V2342" s="278"/>
      <c r="W2342" s="278"/>
    </row>
    <row r="2343" spans="1:23" s="269" customFormat="1" ht="20.25">
      <c r="A2343" s="267"/>
      <c r="B2343" s="275"/>
      <c r="C2343" s="275"/>
      <c r="D2343" s="168" t="str">
        <f ca="1">IF(ISERROR($S2343),"",OFFSET('Smelter Reference List'!$C$4,$S2343-4,0)&amp;"")</f>
        <v/>
      </c>
      <c r="E2343" s="168" t="str">
        <f ca="1">IF(ISERROR($S2343),"",OFFSET('Smelter Reference List'!$D$4,$S2343-4,0)&amp;"")</f>
        <v/>
      </c>
      <c r="F2343" s="168" t="str">
        <f ca="1">IF(ISERROR($S2343),"",OFFSET('Smelter Reference List'!$E$4,$S2343-4,0))</f>
        <v/>
      </c>
      <c r="G2343" s="168" t="str">
        <f ca="1">IF(C2343=$U$4,"Enter smelter details", IF(ISERROR($S2343),"",OFFSET('Smelter Reference List'!$F$4,$S2343-4,0)))</f>
        <v/>
      </c>
      <c r="H2343" s="292" t="str">
        <f ca="1">IF(ISERROR($S2343),"",OFFSET('Smelter Reference List'!$G$4,$S2343-4,0))</f>
        <v/>
      </c>
      <c r="I2343" s="293" t="str">
        <f ca="1">IF(ISERROR($S2343),"",OFFSET('Smelter Reference List'!$H$4,$S2343-4,0))</f>
        <v/>
      </c>
      <c r="J2343" s="293" t="str">
        <f ca="1">IF(ISERROR($S2343),"",OFFSET('Smelter Reference List'!$I$4,$S2343-4,0))</f>
        <v/>
      </c>
      <c r="K2343" s="290"/>
      <c r="L2343" s="290"/>
      <c r="M2343" s="290"/>
      <c r="N2343" s="290"/>
      <c r="O2343" s="290"/>
      <c r="P2343" s="290"/>
      <c r="Q2343" s="291"/>
      <c r="R2343" s="276"/>
      <c r="S2343" s="277" t="e">
        <f>IF(OR(C2343="",C2343=T$4),NA(),MATCH($B2343&amp;$C2343,'Smelter Reference List'!$J:$J,0))</f>
        <v>#N/A</v>
      </c>
      <c r="T2343" s="278"/>
      <c r="U2343" s="278"/>
      <c r="V2343" s="278"/>
      <c r="W2343" s="278"/>
    </row>
    <row r="2344" spans="1:23" s="269" customFormat="1" ht="20.25">
      <c r="A2344" s="267"/>
      <c r="B2344" s="275"/>
      <c r="C2344" s="275"/>
      <c r="D2344" s="168" t="str">
        <f ca="1">IF(ISERROR($S2344),"",OFFSET('Smelter Reference List'!$C$4,$S2344-4,0)&amp;"")</f>
        <v/>
      </c>
      <c r="E2344" s="168" t="str">
        <f ca="1">IF(ISERROR($S2344),"",OFFSET('Smelter Reference List'!$D$4,$S2344-4,0)&amp;"")</f>
        <v/>
      </c>
      <c r="F2344" s="168" t="str">
        <f ca="1">IF(ISERROR($S2344),"",OFFSET('Smelter Reference List'!$E$4,$S2344-4,0))</f>
        <v/>
      </c>
      <c r="G2344" s="168" t="str">
        <f ca="1">IF(C2344=$U$4,"Enter smelter details", IF(ISERROR($S2344),"",OFFSET('Smelter Reference List'!$F$4,$S2344-4,0)))</f>
        <v/>
      </c>
      <c r="H2344" s="292" t="str">
        <f ca="1">IF(ISERROR($S2344),"",OFFSET('Smelter Reference List'!$G$4,$S2344-4,0))</f>
        <v/>
      </c>
      <c r="I2344" s="293" t="str">
        <f ca="1">IF(ISERROR($S2344),"",OFFSET('Smelter Reference List'!$H$4,$S2344-4,0))</f>
        <v/>
      </c>
      <c r="J2344" s="293" t="str">
        <f ca="1">IF(ISERROR($S2344),"",OFFSET('Smelter Reference List'!$I$4,$S2344-4,0))</f>
        <v/>
      </c>
      <c r="K2344" s="290"/>
      <c r="L2344" s="290"/>
      <c r="M2344" s="290"/>
      <c r="N2344" s="290"/>
      <c r="O2344" s="290"/>
      <c r="P2344" s="290"/>
      <c r="Q2344" s="291"/>
      <c r="R2344" s="276"/>
      <c r="S2344" s="277" t="e">
        <f>IF(OR(C2344="",C2344=T$4),NA(),MATCH($B2344&amp;$C2344,'Smelter Reference List'!$J:$J,0))</f>
        <v>#N/A</v>
      </c>
      <c r="T2344" s="278"/>
      <c r="U2344" s="278"/>
      <c r="V2344" s="278"/>
      <c r="W2344" s="278"/>
    </row>
    <row r="2345" spans="1:23" s="269" customFormat="1" ht="20.25">
      <c r="A2345" s="267"/>
      <c r="B2345" s="275"/>
      <c r="C2345" s="275"/>
      <c r="D2345" s="168" t="str">
        <f ca="1">IF(ISERROR($S2345),"",OFFSET('Smelter Reference List'!$C$4,$S2345-4,0)&amp;"")</f>
        <v/>
      </c>
      <c r="E2345" s="168" t="str">
        <f ca="1">IF(ISERROR($S2345),"",OFFSET('Smelter Reference List'!$D$4,$S2345-4,0)&amp;"")</f>
        <v/>
      </c>
      <c r="F2345" s="168" t="str">
        <f ca="1">IF(ISERROR($S2345),"",OFFSET('Smelter Reference List'!$E$4,$S2345-4,0))</f>
        <v/>
      </c>
      <c r="G2345" s="168" t="str">
        <f ca="1">IF(C2345=$U$4,"Enter smelter details", IF(ISERROR($S2345),"",OFFSET('Smelter Reference List'!$F$4,$S2345-4,0)))</f>
        <v/>
      </c>
      <c r="H2345" s="292" t="str">
        <f ca="1">IF(ISERROR($S2345),"",OFFSET('Smelter Reference List'!$G$4,$S2345-4,0))</f>
        <v/>
      </c>
      <c r="I2345" s="293" t="str">
        <f ca="1">IF(ISERROR($S2345),"",OFFSET('Smelter Reference List'!$H$4,$S2345-4,0))</f>
        <v/>
      </c>
      <c r="J2345" s="293" t="str">
        <f ca="1">IF(ISERROR($S2345),"",OFFSET('Smelter Reference List'!$I$4,$S2345-4,0))</f>
        <v/>
      </c>
      <c r="K2345" s="290"/>
      <c r="L2345" s="290"/>
      <c r="M2345" s="290"/>
      <c r="N2345" s="290"/>
      <c r="O2345" s="290"/>
      <c r="P2345" s="290"/>
      <c r="Q2345" s="291"/>
      <c r="R2345" s="276"/>
      <c r="S2345" s="277" t="e">
        <f>IF(OR(C2345="",C2345=T$4),NA(),MATCH($B2345&amp;$C2345,'Smelter Reference List'!$J:$J,0))</f>
        <v>#N/A</v>
      </c>
      <c r="T2345" s="278"/>
      <c r="U2345" s="278"/>
      <c r="V2345" s="278"/>
      <c r="W2345" s="278"/>
    </row>
    <row r="2346" spans="1:23" s="269" customFormat="1" ht="20.25">
      <c r="A2346" s="267"/>
      <c r="B2346" s="275"/>
      <c r="C2346" s="275"/>
      <c r="D2346" s="168" t="str">
        <f ca="1">IF(ISERROR($S2346),"",OFFSET('Smelter Reference List'!$C$4,$S2346-4,0)&amp;"")</f>
        <v/>
      </c>
      <c r="E2346" s="168" t="str">
        <f ca="1">IF(ISERROR($S2346),"",OFFSET('Smelter Reference List'!$D$4,$S2346-4,0)&amp;"")</f>
        <v/>
      </c>
      <c r="F2346" s="168" t="str">
        <f ca="1">IF(ISERROR($S2346),"",OFFSET('Smelter Reference List'!$E$4,$S2346-4,0))</f>
        <v/>
      </c>
      <c r="G2346" s="168" t="str">
        <f ca="1">IF(C2346=$U$4,"Enter smelter details", IF(ISERROR($S2346),"",OFFSET('Smelter Reference List'!$F$4,$S2346-4,0)))</f>
        <v/>
      </c>
      <c r="H2346" s="292" t="str">
        <f ca="1">IF(ISERROR($S2346),"",OFFSET('Smelter Reference List'!$G$4,$S2346-4,0))</f>
        <v/>
      </c>
      <c r="I2346" s="293" t="str">
        <f ca="1">IF(ISERROR($S2346),"",OFFSET('Smelter Reference List'!$H$4,$S2346-4,0))</f>
        <v/>
      </c>
      <c r="J2346" s="293" t="str">
        <f ca="1">IF(ISERROR($S2346),"",OFFSET('Smelter Reference List'!$I$4,$S2346-4,0))</f>
        <v/>
      </c>
      <c r="K2346" s="290"/>
      <c r="L2346" s="290"/>
      <c r="M2346" s="290"/>
      <c r="N2346" s="290"/>
      <c r="O2346" s="290"/>
      <c r="P2346" s="290"/>
      <c r="Q2346" s="291"/>
      <c r="R2346" s="276"/>
      <c r="S2346" s="277" t="e">
        <f>IF(OR(C2346="",C2346=T$4),NA(),MATCH($B2346&amp;$C2346,'Smelter Reference List'!$J:$J,0))</f>
        <v>#N/A</v>
      </c>
      <c r="T2346" s="278"/>
      <c r="U2346" s="278"/>
      <c r="V2346" s="278"/>
      <c r="W2346" s="278"/>
    </row>
    <row r="2347" spans="1:23" s="269" customFormat="1" ht="20.25">
      <c r="A2347" s="267"/>
      <c r="B2347" s="275"/>
      <c r="C2347" s="275"/>
      <c r="D2347" s="168" t="str">
        <f ca="1">IF(ISERROR($S2347),"",OFFSET('Smelter Reference List'!$C$4,$S2347-4,0)&amp;"")</f>
        <v/>
      </c>
      <c r="E2347" s="168" t="str">
        <f ca="1">IF(ISERROR($S2347),"",OFFSET('Smelter Reference List'!$D$4,$S2347-4,0)&amp;"")</f>
        <v/>
      </c>
      <c r="F2347" s="168" t="str">
        <f ca="1">IF(ISERROR($S2347),"",OFFSET('Smelter Reference List'!$E$4,$S2347-4,0))</f>
        <v/>
      </c>
      <c r="G2347" s="168" t="str">
        <f ca="1">IF(C2347=$U$4,"Enter smelter details", IF(ISERROR($S2347),"",OFFSET('Smelter Reference List'!$F$4,$S2347-4,0)))</f>
        <v/>
      </c>
      <c r="H2347" s="292" t="str">
        <f ca="1">IF(ISERROR($S2347),"",OFFSET('Smelter Reference List'!$G$4,$S2347-4,0))</f>
        <v/>
      </c>
      <c r="I2347" s="293" t="str">
        <f ca="1">IF(ISERROR($S2347),"",OFFSET('Smelter Reference List'!$H$4,$S2347-4,0))</f>
        <v/>
      </c>
      <c r="J2347" s="293" t="str">
        <f ca="1">IF(ISERROR($S2347),"",OFFSET('Smelter Reference List'!$I$4,$S2347-4,0))</f>
        <v/>
      </c>
      <c r="K2347" s="290"/>
      <c r="L2347" s="290"/>
      <c r="M2347" s="290"/>
      <c r="N2347" s="290"/>
      <c r="O2347" s="290"/>
      <c r="P2347" s="290"/>
      <c r="Q2347" s="291"/>
      <c r="R2347" s="276"/>
      <c r="S2347" s="277" t="e">
        <f>IF(OR(C2347="",C2347=T$4),NA(),MATCH($B2347&amp;$C2347,'Smelter Reference List'!$J:$J,0))</f>
        <v>#N/A</v>
      </c>
      <c r="T2347" s="278"/>
      <c r="U2347" s="278"/>
      <c r="V2347" s="278"/>
      <c r="W2347" s="278"/>
    </row>
    <row r="2348" spans="1:23" s="269" customFormat="1" ht="20.25">
      <c r="A2348" s="267"/>
      <c r="B2348" s="275"/>
      <c r="C2348" s="275"/>
      <c r="D2348" s="168" t="str">
        <f ca="1">IF(ISERROR($S2348),"",OFFSET('Smelter Reference List'!$C$4,$S2348-4,0)&amp;"")</f>
        <v/>
      </c>
      <c r="E2348" s="168" t="str">
        <f ca="1">IF(ISERROR($S2348),"",OFFSET('Smelter Reference List'!$D$4,$S2348-4,0)&amp;"")</f>
        <v/>
      </c>
      <c r="F2348" s="168" t="str">
        <f ca="1">IF(ISERROR($S2348),"",OFFSET('Smelter Reference List'!$E$4,$S2348-4,0))</f>
        <v/>
      </c>
      <c r="G2348" s="168" t="str">
        <f ca="1">IF(C2348=$U$4,"Enter smelter details", IF(ISERROR($S2348),"",OFFSET('Smelter Reference List'!$F$4,$S2348-4,0)))</f>
        <v/>
      </c>
      <c r="H2348" s="292" t="str">
        <f ca="1">IF(ISERROR($S2348),"",OFFSET('Smelter Reference List'!$G$4,$S2348-4,0))</f>
        <v/>
      </c>
      <c r="I2348" s="293" t="str">
        <f ca="1">IF(ISERROR($S2348),"",OFFSET('Smelter Reference List'!$H$4,$S2348-4,0))</f>
        <v/>
      </c>
      <c r="J2348" s="293" t="str">
        <f ca="1">IF(ISERROR($S2348),"",OFFSET('Smelter Reference List'!$I$4,$S2348-4,0))</f>
        <v/>
      </c>
      <c r="K2348" s="290"/>
      <c r="L2348" s="290"/>
      <c r="M2348" s="290"/>
      <c r="N2348" s="290"/>
      <c r="O2348" s="290"/>
      <c r="P2348" s="290"/>
      <c r="Q2348" s="291"/>
      <c r="R2348" s="276"/>
      <c r="S2348" s="277" t="e">
        <f>IF(OR(C2348="",C2348=T$4),NA(),MATCH($B2348&amp;$C2348,'Smelter Reference List'!$J:$J,0))</f>
        <v>#N/A</v>
      </c>
      <c r="T2348" s="278"/>
      <c r="U2348" s="278"/>
      <c r="V2348" s="278"/>
      <c r="W2348" s="278"/>
    </row>
    <row r="2349" spans="1:23" s="269" customFormat="1" ht="20.25">
      <c r="A2349" s="267"/>
      <c r="B2349" s="275"/>
      <c r="C2349" s="275"/>
      <c r="D2349" s="168" t="str">
        <f ca="1">IF(ISERROR($S2349),"",OFFSET('Smelter Reference List'!$C$4,$S2349-4,0)&amp;"")</f>
        <v/>
      </c>
      <c r="E2349" s="168" t="str">
        <f ca="1">IF(ISERROR($S2349),"",OFFSET('Smelter Reference List'!$D$4,$S2349-4,0)&amp;"")</f>
        <v/>
      </c>
      <c r="F2349" s="168" t="str">
        <f ca="1">IF(ISERROR($S2349),"",OFFSET('Smelter Reference List'!$E$4,$S2349-4,0))</f>
        <v/>
      </c>
      <c r="G2349" s="168" t="str">
        <f ca="1">IF(C2349=$U$4,"Enter smelter details", IF(ISERROR($S2349),"",OFFSET('Smelter Reference List'!$F$4,$S2349-4,0)))</f>
        <v/>
      </c>
      <c r="H2349" s="292" t="str">
        <f ca="1">IF(ISERROR($S2349),"",OFFSET('Smelter Reference List'!$G$4,$S2349-4,0))</f>
        <v/>
      </c>
      <c r="I2349" s="293" t="str">
        <f ca="1">IF(ISERROR($S2349),"",OFFSET('Smelter Reference List'!$H$4,$S2349-4,0))</f>
        <v/>
      </c>
      <c r="J2349" s="293" t="str">
        <f ca="1">IF(ISERROR($S2349),"",OFFSET('Smelter Reference List'!$I$4,$S2349-4,0))</f>
        <v/>
      </c>
      <c r="K2349" s="290"/>
      <c r="L2349" s="290"/>
      <c r="M2349" s="290"/>
      <c r="N2349" s="290"/>
      <c r="O2349" s="290"/>
      <c r="P2349" s="290"/>
      <c r="Q2349" s="291"/>
      <c r="R2349" s="276"/>
      <c r="S2349" s="277" t="e">
        <f>IF(OR(C2349="",C2349=T$4),NA(),MATCH($B2349&amp;$C2349,'Smelter Reference List'!$J:$J,0))</f>
        <v>#N/A</v>
      </c>
      <c r="T2349" s="278"/>
      <c r="U2349" s="278"/>
      <c r="V2349" s="278"/>
      <c r="W2349" s="278"/>
    </row>
    <row r="2350" spans="1:23" s="269" customFormat="1" ht="20.25">
      <c r="A2350" s="267"/>
      <c r="B2350" s="275"/>
      <c r="C2350" s="275"/>
      <c r="D2350" s="168" t="str">
        <f ca="1">IF(ISERROR($S2350),"",OFFSET('Smelter Reference List'!$C$4,$S2350-4,0)&amp;"")</f>
        <v/>
      </c>
      <c r="E2350" s="168" t="str">
        <f ca="1">IF(ISERROR($S2350),"",OFFSET('Smelter Reference List'!$D$4,$S2350-4,0)&amp;"")</f>
        <v/>
      </c>
      <c r="F2350" s="168" t="str">
        <f ca="1">IF(ISERROR($S2350),"",OFFSET('Smelter Reference List'!$E$4,$S2350-4,0))</f>
        <v/>
      </c>
      <c r="G2350" s="168" t="str">
        <f ca="1">IF(C2350=$U$4,"Enter smelter details", IF(ISERROR($S2350),"",OFFSET('Smelter Reference List'!$F$4,$S2350-4,0)))</f>
        <v/>
      </c>
      <c r="H2350" s="292" t="str">
        <f ca="1">IF(ISERROR($S2350),"",OFFSET('Smelter Reference List'!$G$4,$S2350-4,0))</f>
        <v/>
      </c>
      <c r="I2350" s="293" t="str">
        <f ca="1">IF(ISERROR($S2350),"",OFFSET('Smelter Reference List'!$H$4,$S2350-4,0))</f>
        <v/>
      </c>
      <c r="J2350" s="293" t="str">
        <f ca="1">IF(ISERROR($S2350),"",OFFSET('Smelter Reference List'!$I$4,$S2350-4,0))</f>
        <v/>
      </c>
      <c r="K2350" s="290"/>
      <c r="L2350" s="290"/>
      <c r="M2350" s="290"/>
      <c r="N2350" s="290"/>
      <c r="O2350" s="290"/>
      <c r="P2350" s="290"/>
      <c r="Q2350" s="291"/>
      <c r="R2350" s="276"/>
      <c r="S2350" s="277" t="e">
        <f>IF(OR(C2350="",C2350=T$4),NA(),MATCH($B2350&amp;$C2350,'Smelter Reference List'!$J:$J,0))</f>
        <v>#N/A</v>
      </c>
      <c r="T2350" s="278"/>
      <c r="U2350" s="278"/>
      <c r="V2350" s="278"/>
      <c r="W2350" s="278"/>
    </row>
    <row r="2351" spans="1:23" s="269" customFormat="1" ht="20.25">
      <c r="A2351" s="267"/>
      <c r="B2351" s="275"/>
      <c r="C2351" s="275"/>
      <c r="D2351" s="168" t="str">
        <f ca="1">IF(ISERROR($S2351),"",OFFSET('Smelter Reference List'!$C$4,$S2351-4,0)&amp;"")</f>
        <v/>
      </c>
      <c r="E2351" s="168" t="str">
        <f ca="1">IF(ISERROR($S2351),"",OFFSET('Smelter Reference List'!$D$4,$S2351-4,0)&amp;"")</f>
        <v/>
      </c>
      <c r="F2351" s="168" t="str">
        <f ca="1">IF(ISERROR($S2351),"",OFFSET('Smelter Reference List'!$E$4,$S2351-4,0))</f>
        <v/>
      </c>
      <c r="G2351" s="168" t="str">
        <f ca="1">IF(C2351=$U$4,"Enter smelter details", IF(ISERROR($S2351),"",OFFSET('Smelter Reference List'!$F$4,$S2351-4,0)))</f>
        <v/>
      </c>
      <c r="H2351" s="292" t="str">
        <f ca="1">IF(ISERROR($S2351),"",OFFSET('Smelter Reference List'!$G$4,$S2351-4,0))</f>
        <v/>
      </c>
      <c r="I2351" s="293" t="str">
        <f ca="1">IF(ISERROR($S2351),"",OFFSET('Smelter Reference List'!$H$4,$S2351-4,0))</f>
        <v/>
      </c>
      <c r="J2351" s="293" t="str">
        <f ca="1">IF(ISERROR($S2351),"",OFFSET('Smelter Reference List'!$I$4,$S2351-4,0))</f>
        <v/>
      </c>
      <c r="K2351" s="290"/>
      <c r="L2351" s="290"/>
      <c r="M2351" s="290"/>
      <c r="N2351" s="290"/>
      <c r="O2351" s="290"/>
      <c r="P2351" s="290"/>
      <c r="Q2351" s="291"/>
      <c r="R2351" s="276"/>
      <c r="S2351" s="277" t="e">
        <f>IF(OR(C2351="",C2351=T$4),NA(),MATCH($B2351&amp;$C2351,'Smelter Reference List'!$J:$J,0))</f>
        <v>#N/A</v>
      </c>
      <c r="T2351" s="278"/>
      <c r="U2351" s="278"/>
      <c r="V2351" s="278"/>
      <c r="W2351" s="278"/>
    </row>
    <row r="2352" spans="1:23" s="269" customFormat="1" ht="20.25">
      <c r="A2352" s="267"/>
      <c r="B2352" s="275"/>
      <c r="C2352" s="275"/>
      <c r="D2352" s="168" t="str">
        <f ca="1">IF(ISERROR($S2352),"",OFFSET('Smelter Reference List'!$C$4,$S2352-4,0)&amp;"")</f>
        <v/>
      </c>
      <c r="E2352" s="168" t="str">
        <f ca="1">IF(ISERROR($S2352),"",OFFSET('Smelter Reference List'!$D$4,$S2352-4,0)&amp;"")</f>
        <v/>
      </c>
      <c r="F2352" s="168" t="str">
        <f ca="1">IF(ISERROR($S2352),"",OFFSET('Smelter Reference List'!$E$4,$S2352-4,0))</f>
        <v/>
      </c>
      <c r="G2352" s="168" t="str">
        <f ca="1">IF(C2352=$U$4,"Enter smelter details", IF(ISERROR($S2352),"",OFFSET('Smelter Reference List'!$F$4,$S2352-4,0)))</f>
        <v/>
      </c>
      <c r="H2352" s="292" t="str">
        <f ca="1">IF(ISERROR($S2352),"",OFFSET('Smelter Reference List'!$G$4,$S2352-4,0))</f>
        <v/>
      </c>
      <c r="I2352" s="293" t="str">
        <f ca="1">IF(ISERROR($S2352),"",OFFSET('Smelter Reference List'!$H$4,$S2352-4,0))</f>
        <v/>
      </c>
      <c r="J2352" s="293" t="str">
        <f ca="1">IF(ISERROR($S2352),"",OFFSET('Smelter Reference List'!$I$4,$S2352-4,0))</f>
        <v/>
      </c>
      <c r="K2352" s="290"/>
      <c r="L2352" s="290"/>
      <c r="M2352" s="290"/>
      <c r="N2352" s="290"/>
      <c r="O2352" s="290"/>
      <c r="P2352" s="290"/>
      <c r="Q2352" s="291"/>
      <c r="R2352" s="276"/>
      <c r="S2352" s="277" t="e">
        <f>IF(OR(C2352="",C2352=T$4),NA(),MATCH($B2352&amp;$C2352,'Smelter Reference List'!$J:$J,0))</f>
        <v>#N/A</v>
      </c>
      <c r="T2352" s="278"/>
      <c r="U2352" s="278"/>
      <c r="V2352" s="278"/>
      <c r="W2352" s="278"/>
    </row>
    <row r="2353" spans="1:23" s="269" customFormat="1" ht="20.25">
      <c r="A2353" s="267"/>
      <c r="B2353" s="275"/>
      <c r="C2353" s="275"/>
      <c r="D2353" s="168" t="str">
        <f ca="1">IF(ISERROR($S2353),"",OFFSET('Smelter Reference List'!$C$4,$S2353-4,0)&amp;"")</f>
        <v/>
      </c>
      <c r="E2353" s="168" t="str">
        <f ca="1">IF(ISERROR($S2353),"",OFFSET('Smelter Reference List'!$D$4,$S2353-4,0)&amp;"")</f>
        <v/>
      </c>
      <c r="F2353" s="168" t="str">
        <f ca="1">IF(ISERROR($S2353),"",OFFSET('Smelter Reference List'!$E$4,$S2353-4,0))</f>
        <v/>
      </c>
      <c r="G2353" s="168" t="str">
        <f ca="1">IF(C2353=$U$4,"Enter smelter details", IF(ISERROR($S2353),"",OFFSET('Smelter Reference List'!$F$4,$S2353-4,0)))</f>
        <v/>
      </c>
      <c r="H2353" s="292" t="str">
        <f ca="1">IF(ISERROR($S2353),"",OFFSET('Smelter Reference List'!$G$4,$S2353-4,0))</f>
        <v/>
      </c>
      <c r="I2353" s="293" t="str">
        <f ca="1">IF(ISERROR($S2353),"",OFFSET('Smelter Reference List'!$H$4,$S2353-4,0))</f>
        <v/>
      </c>
      <c r="J2353" s="293" t="str">
        <f ca="1">IF(ISERROR($S2353),"",OFFSET('Smelter Reference List'!$I$4,$S2353-4,0))</f>
        <v/>
      </c>
      <c r="K2353" s="290"/>
      <c r="L2353" s="290"/>
      <c r="M2353" s="290"/>
      <c r="N2353" s="290"/>
      <c r="O2353" s="290"/>
      <c r="P2353" s="290"/>
      <c r="Q2353" s="291"/>
      <c r="R2353" s="276"/>
      <c r="S2353" s="277" t="e">
        <f>IF(OR(C2353="",C2353=T$4),NA(),MATCH($B2353&amp;$C2353,'Smelter Reference List'!$J:$J,0))</f>
        <v>#N/A</v>
      </c>
      <c r="T2353" s="278"/>
      <c r="U2353" s="278"/>
      <c r="V2353" s="278"/>
      <c r="W2353" s="278"/>
    </row>
    <row r="2354" spans="1:23" s="269" customFormat="1" ht="20.25">
      <c r="A2354" s="267"/>
      <c r="B2354" s="275"/>
      <c r="C2354" s="275"/>
      <c r="D2354" s="168" t="str">
        <f ca="1">IF(ISERROR($S2354),"",OFFSET('Smelter Reference List'!$C$4,$S2354-4,0)&amp;"")</f>
        <v/>
      </c>
      <c r="E2354" s="168" t="str">
        <f ca="1">IF(ISERROR($S2354),"",OFFSET('Smelter Reference List'!$D$4,$S2354-4,0)&amp;"")</f>
        <v/>
      </c>
      <c r="F2354" s="168" t="str">
        <f ca="1">IF(ISERROR($S2354),"",OFFSET('Smelter Reference List'!$E$4,$S2354-4,0))</f>
        <v/>
      </c>
      <c r="G2354" s="168" t="str">
        <f ca="1">IF(C2354=$U$4,"Enter smelter details", IF(ISERROR($S2354),"",OFFSET('Smelter Reference List'!$F$4,$S2354-4,0)))</f>
        <v/>
      </c>
      <c r="H2354" s="292" t="str">
        <f ca="1">IF(ISERROR($S2354),"",OFFSET('Smelter Reference List'!$G$4,$S2354-4,0))</f>
        <v/>
      </c>
      <c r="I2354" s="293" t="str">
        <f ca="1">IF(ISERROR($S2354),"",OFFSET('Smelter Reference List'!$H$4,$S2354-4,0))</f>
        <v/>
      </c>
      <c r="J2354" s="293" t="str">
        <f ca="1">IF(ISERROR($S2354),"",OFFSET('Smelter Reference List'!$I$4,$S2354-4,0))</f>
        <v/>
      </c>
      <c r="K2354" s="290"/>
      <c r="L2354" s="290"/>
      <c r="M2354" s="290"/>
      <c r="N2354" s="290"/>
      <c r="O2354" s="290"/>
      <c r="P2354" s="290"/>
      <c r="Q2354" s="291"/>
      <c r="R2354" s="276"/>
      <c r="S2354" s="277" t="e">
        <f>IF(OR(C2354="",C2354=T$4),NA(),MATCH($B2354&amp;$C2354,'Smelter Reference List'!$J:$J,0))</f>
        <v>#N/A</v>
      </c>
      <c r="T2354" s="278"/>
      <c r="U2354" s="278"/>
      <c r="V2354" s="278"/>
      <c r="W2354" s="278"/>
    </row>
    <row r="2355" spans="1:23" s="269" customFormat="1" ht="20.25">
      <c r="A2355" s="267"/>
      <c r="B2355" s="275"/>
      <c r="C2355" s="275"/>
      <c r="D2355" s="168" t="str">
        <f ca="1">IF(ISERROR($S2355),"",OFFSET('Smelter Reference List'!$C$4,$S2355-4,0)&amp;"")</f>
        <v/>
      </c>
      <c r="E2355" s="168" t="str">
        <f ca="1">IF(ISERROR($S2355),"",OFFSET('Smelter Reference List'!$D$4,$S2355-4,0)&amp;"")</f>
        <v/>
      </c>
      <c r="F2355" s="168" t="str">
        <f ca="1">IF(ISERROR($S2355),"",OFFSET('Smelter Reference List'!$E$4,$S2355-4,0))</f>
        <v/>
      </c>
      <c r="G2355" s="168" t="str">
        <f ca="1">IF(C2355=$U$4,"Enter smelter details", IF(ISERROR($S2355),"",OFFSET('Smelter Reference List'!$F$4,$S2355-4,0)))</f>
        <v/>
      </c>
      <c r="H2355" s="292" t="str">
        <f ca="1">IF(ISERROR($S2355),"",OFFSET('Smelter Reference List'!$G$4,$S2355-4,0))</f>
        <v/>
      </c>
      <c r="I2355" s="293" t="str">
        <f ca="1">IF(ISERROR($S2355),"",OFFSET('Smelter Reference List'!$H$4,$S2355-4,0))</f>
        <v/>
      </c>
      <c r="J2355" s="293" t="str">
        <f ca="1">IF(ISERROR($S2355),"",OFFSET('Smelter Reference List'!$I$4,$S2355-4,0))</f>
        <v/>
      </c>
      <c r="K2355" s="290"/>
      <c r="L2355" s="290"/>
      <c r="M2355" s="290"/>
      <c r="N2355" s="290"/>
      <c r="O2355" s="290"/>
      <c r="P2355" s="290"/>
      <c r="Q2355" s="291"/>
      <c r="R2355" s="276"/>
      <c r="S2355" s="277" t="e">
        <f>IF(OR(C2355="",C2355=T$4),NA(),MATCH($B2355&amp;$C2355,'Smelter Reference List'!$J:$J,0))</f>
        <v>#N/A</v>
      </c>
      <c r="T2355" s="278"/>
      <c r="U2355" s="278"/>
      <c r="V2355" s="278"/>
      <c r="W2355" s="278"/>
    </row>
    <row r="2356" spans="1:23" s="269" customFormat="1" ht="20.25">
      <c r="A2356" s="267"/>
      <c r="B2356" s="275"/>
      <c r="C2356" s="275"/>
      <c r="D2356" s="168" t="str">
        <f ca="1">IF(ISERROR($S2356),"",OFFSET('Smelter Reference List'!$C$4,$S2356-4,0)&amp;"")</f>
        <v/>
      </c>
      <c r="E2356" s="168" t="str">
        <f ca="1">IF(ISERROR($S2356),"",OFFSET('Smelter Reference List'!$D$4,$S2356-4,0)&amp;"")</f>
        <v/>
      </c>
      <c r="F2356" s="168" t="str">
        <f ca="1">IF(ISERROR($S2356),"",OFFSET('Smelter Reference List'!$E$4,$S2356-4,0))</f>
        <v/>
      </c>
      <c r="G2356" s="168" t="str">
        <f ca="1">IF(C2356=$U$4,"Enter smelter details", IF(ISERROR($S2356),"",OFFSET('Smelter Reference List'!$F$4,$S2356-4,0)))</f>
        <v/>
      </c>
      <c r="H2356" s="292" t="str">
        <f ca="1">IF(ISERROR($S2356),"",OFFSET('Smelter Reference List'!$G$4,$S2356-4,0))</f>
        <v/>
      </c>
      <c r="I2356" s="293" t="str">
        <f ca="1">IF(ISERROR($S2356),"",OFFSET('Smelter Reference List'!$H$4,$S2356-4,0))</f>
        <v/>
      </c>
      <c r="J2356" s="293" t="str">
        <f ca="1">IF(ISERROR($S2356),"",OFFSET('Smelter Reference List'!$I$4,$S2356-4,0))</f>
        <v/>
      </c>
      <c r="K2356" s="290"/>
      <c r="L2356" s="290"/>
      <c r="M2356" s="290"/>
      <c r="N2356" s="290"/>
      <c r="O2356" s="290"/>
      <c r="P2356" s="290"/>
      <c r="Q2356" s="291"/>
      <c r="R2356" s="276"/>
      <c r="S2356" s="277" t="e">
        <f>IF(OR(C2356="",C2356=T$4),NA(),MATCH($B2356&amp;$C2356,'Smelter Reference List'!$J:$J,0))</f>
        <v>#N/A</v>
      </c>
      <c r="T2356" s="278"/>
      <c r="U2356" s="278"/>
      <c r="V2356" s="278"/>
      <c r="W2356" s="278"/>
    </row>
    <row r="2357" spans="1:23" s="269" customFormat="1" ht="20.25">
      <c r="A2357" s="267"/>
      <c r="B2357" s="275"/>
      <c r="C2357" s="275"/>
      <c r="D2357" s="168" t="str">
        <f ca="1">IF(ISERROR($S2357),"",OFFSET('Smelter Reference List'!$C$4,$S2357-4,0)&amp;"")</f>
        <v/>
      </c>
      <c r="E2357" s="168" t="str">
        <f ca="1">IF(ISERROR($S2357),"",OFFSET('Smelter Reference List'!$D$4,$S2357-4,0)&amp;"")</f>
        <v/>
      </c>
      <c r="F2357" s="168" t="str">
        <f ca="1">IF(ISERROR($S2357),"",OFFSET('Smelter Reference List'!$E$4,$S2357-4,0))</f>
        <v/>
      </c>
      <c r="G2357" s="168" t="str">
        <f ca="1">IF(C2357=$U$4,"Enter smelter details", IF(ISERROR($S2357),"",OFFSET('Smelter Reference List'!$F$4,$S2357-4,0)))</f>
        <v/>
      </c>
      <c r="H2357" s="292" t="str">
        <f ca="1">IF(ISERROR($S2357),"",OFFSET('Smelter Reference List'!$G$4,$S2357-4,0))</f>
        <v/>
      </c>
      <c r="I2357" s="293" t="str">
        <f ca="1">IF(ISERROR($S2357),"",OFFSET('Smelter Reference List'!$H$4,$S2357-4,0))</f>
        <v/>
      </c>
      <c r="J2357" s="293" t="str">
        <f ca="1">IF(ISERROR($S2357),"",OFFSET('Smelter Reference List'!$I$4,$S2357-4,0))</f>
        <v/>
      </c>
      <c r="K2357" s="290"/>
      <c r="L2357" s="290"/>
      <c r="M2357" s="290"/>
      <c r="N2357" s="290"/>
      <c r="O2357" s="290"/>
      <c r="P2357" s="290"/>
      <c r="Q2357" s="291"/>
      <c r="R2357" s="276"/>
      <c r="S2357" s="277" t="e">
        <f>IF(OR(C2357="",C2357=T$4),NA(),MATCH($B2357&amp;$C2357,'Smelter Reference List'!$J:$J,0))</f>
        <v>#N/A</v>
      </c>
      <c r="T2357" s="278"/>
      <c r="U2357" s="278"/>
      <c r="V2357" s="278"/>
      <c r="W2357" s="278"/>
    </row>
    <row r="2358" spans="1:23" s="269" customFormat="1" ht="20.25">
      <c r="A2358" s="267"/>
      <c r="B2358" s="275"/>
      <c r="C2358" s="275"/>
      <c r="D2358" s="168" t="str">
        <f ca="1">IF(ISERROR($S2358),"",OFFSET('Smelter Reference List'!$C$4,$S2358-4,0)&amp;"")</f>
        <v/>
      </c>
      <c r="E2358" s="168" t="str">
        <f ca="1">IF(ISERROR($S2358),"",OFFSET('Smelter Reference List'!$D$4,$S2358-4,0)&amp;"")</f>
        <v/>
      </c>
      <c r="F2358" s="168" t="str">
        <f ca="1">IF(ISERROR($S2358),"",OFFSET('Smelter Reference List'!$E$4,$S2358-4,0))</f>
        <v/>
      </c>
      <c r="G2358" s="168" t="str">
        <f ca="1">IF(C2358=$U$4,"Enter smelter details", IF(ISERROR($S2358),"",OFFSET('Smelter Reference List'!$F$4,$S2358-4,0)))</f>
        <v/>
      </c>
      <c r="H2358" s="292" t="str">
        <f ca="1">IF(ISERROR($S2358),"",OFFSET('Smelter Reference List'!$G$4,$S2358-4,0))</f>
        <v/>
      </c>
      <c r="I2358" s="293" t="str">
        <f ca="1">IF(ISERROR($S2358),"",OFFSET('Smelter Reference List'!$H$4,$S2358-4,0))</f>
        <v/>
      </c>
      <c r="J2358" s="293" t="str">
        <f ca="1">IF(ISERROR($S2358),"",OFFSET('Smelter Reference List'!$I$4,$S2358-4,0))</f>
        <v/>
      </c>
      <c r="K2358" s="290"/>
      <c r="L2358" s="290"/>
      <c r="M2358" s="290"/>
      <c r="N2358" s="290"/>
      <c r="O2358" s="290"/>
      <c r="P2358" s="290"/>
      <c r="Q2358" s="291"/>
      <c r="R2358" s="276"/>
      <c r="S2358" s="277" t="e">
        <f>IF(OR(C2358="",C2358=T$4),NA(),MATCH($B2358&amp;$C2358,'Smelter Reference List'!$J:$J,0))</f>
        <v>#N/A</v>
      </c>
      <c r="T2358" s="278"/>
      <c r="U2358" s="278"/>
      <c r="V2358" s="278"/>
      <c r="W2358" s="278"/>
    </row>
    <row r="2359" spans="1:23" s="269" customFormat="1" ht="20.25">
      <c r="A2359" s="267"/>
      <c r="B2359" s="275"/>
      <c r="C2359" s="275"/>
      <c r="D2359" s="168" t="str">
        <f ca="1">IF(ISERROR($S2359),"",OFFSET('Smelter Reference List'!$C$4,$S2359-4,0)&amp;"")</f>
        <v/>
      </c>
      <c r="E2359" s="168" t="str">
        <f ca="1">IF(ISERROR($S2359),"",OFFSET('Smelter Reference List'!$D$4,$S2359-4,0)&amp;"")</f>
        <v/>
      </c>
      <c r="F2359" s="168" t="str">
        <f ca="1">IF(ISERROR($S2359),"",OFFSET('Smelter Reference List'!$E$4,$S2359-4,0))</f>
        <v/>
      </c>
      <c r="G2359" s="168" t="str">
        <f ca="1">IF(C2359=$U$4,"Enter smelter details", IF(ISERROR($S2359),"",OFFSET('Smelter Reference List'!$F$4,$S2359-4,0)))</f>
        <v/>
      </c>
      <c r="H2359" s="292" t="str">
        <f ca="1">IF(ISERROR($S2359),"",OFFSET('Smelter Reference List'!$G$4,$S2359-4,0))</f>
        <v/>
      </c>
      <c r="I2359" s="293" t="str">
        <f ca="1">IF(ISERROR($S2359),"",OFFSET('Smelter Reference List'!$H$4,$S2359-4,0))</f>
        <v/>
      </c>
      <c r="J2359" s="293" t="str">
        <f ca="1">IF(ISERROR($S2359),"",OFFSET('Smelter Reference List'!$I$4,$S2359-4,0))</f>
        <v/>
      </c>
      <c r="K2359" s="290"/>
      <c r="L2359" s="290"/>
      <c r="M2359" s="290"/>
      <c r="N2359" s="290"/>
      <c r="O2359" s="290"/>
      <c r="P2359" s="290"/>
      <c r="Q2359" s="291"/>
      <c r="R2359" s="276"/>
      <c r="S2359" s="277" t="e">
        <f>IF(OR(C2359="",C2359=T$4),NA(),MATCH($B2359&amp;$C2359,'Smelter Reference List'!$J:$J,0))</f>
        <v>#N/A</v>
      </c>
      <c r="T2359" s="278"/>
      <c r="U2359" s="278"/>
      <c r="V2359" s="278"/>
      <c r="W2359" s="278"/>
    </row>
    <row r="2360" spans="1:23" s="269" customFormat="1" ht="20.25">
      <c r="A2360" s="267"/>
      <c r="B2360" s="275"/>
      <c r="C2360" s="275"/>
      <c r="D2360" s="168" t="str">
        <f ca="1">IF(ISERROR($S2360),"",OFFSET('Smelter Reference List'!$C$4,$S2360-4,0)&amp;"")</f>
        <v/>
      </c>
      <c r="E2360" s="168" t="str">
        <f ca="1">IF(ISERROR($S2360),"",OFFSET('Smelter Reference List'!$D$4,$S2360-4,0)&amp;"")</f>
        <v/>
      </c>
      <c r="F2360" s="168" t="str">
        <f ca="1">IF(ISERROR($S2360),"",OFFSET('Smelter Reference List'!$E$4,$S2360-4,0))</f>
        <v/>
      </c>
      <c r="G2360" s="168" t="str">
        <f ca="1">IF(C2360=$U$4,"Enter smelter details", IF(ISERROR($S2360),"",OFFSET('Smelter Reference List'!$F$4,$S2360-4,0)))</f>
        <v/>
      </c>
      <c r="H2360" s="292" t="str">
        <f ca="1">IF(ISERROR($S2360),"",OFFSET('Smelter Reference List'!$G$4,$S2360-4,0))</f>
        <v/>
      </c>
      <c r="I2360" s="293" t="str">
        <f ca="1">IF(ISERROR($S2360),"",OFFSET('Smelter Reference List'!$H$4,$S2360-4,0))</f>
        <v/>
      </c>
      <c r="J2360" s="293" t="str">
        <f ca="1">IF(ISERROR($S2360),"",OFFSET('Smelter Reference List'!$I$4,$S2360-4,0))</f>
        <v/>
      </c>
      <c r="K2360" s="290"/>
      <c r="L2360" s="290"/>
      <c r="M2360" s="290"/>
      <c r="N2360" s="290"/>
      <c r="O2360" s="290"/>
      <c r="P2360" s="290"/>
      <c r="Q2360" s="291"/>
      <c r="R2360" s="276"/>
      <c r="S2360" s="277" t="e">
        <f>IF(OR(C2360="",C2360=T$4),NA(),MATCH($B2360&amp;$C2360,'Smelter Reference List'!$J:$J,0))</f>
        <v>#N/A</v>
      </c>
      <c r="T2360" s="278"/>
      <c r="U2360" s="278"/>
      <c r="V2360" s="278"/>
      <c r="W2360" s="278"/>
    </row>
    <row r="2361" spans="1:23" s="269" customFormat="1" ht="20.25">
      <c r="A2361" s="267"/>
      <c r="B2361" s="275"/>
      <c r="C2361" s="275"/>
      <c r="D2361" s="168" t="str">
        <f ca="1">IF(ISERROR($S2361),"",OFFSET('Smelter Reference List'!$C$4,$S2361-4,0)&amp;"")</f>
        <v/>
      </c>
      <c r="E2361" s="168" t="str">
        <f ca="1">IF(ISERROR($S2361),"",OFFSET('Smelter Reference List'!$D$4,$S2361-4,0)&amp;"")</f>
        <v/>
      </c>
      <c r="F2361" s="168" t="str">
        <f ca="1">IF(ISERROR($S2361),"",OFFSET('Smelter Reference List'!$E$4,$S2361-4,0))</f>
        <v/>
      </c>
      <c r="G2361" s="168" t="str">
        <f ca="1">IF(C2361=$U$4,"Enter smelter details", IF(ISERROR($S2361),"",OFFSET('Smelter Reference List'!$F$4,$S2361-4,0)))</f>
        <v/>
      </c>
      <c r="H2361" s="292" t="str">
        <f ca="1">IF(ISERROR($S2361),"",OFFSET('Smelter Reference List'!$G$4,$S2361-4,0))</f>
        <v/>
      </c>
      <c r="I2361" s="293" t="str">
        <f ca="1">IF(ISERROR($S2361),"",OFFSET('Smelter Reference List'!$H$4,$S2361-4,0))</f>
        <v/>
      </c>
      <c r="J2361" s="293" t="str">
        <f ca="1">IF(ISERROR($S2361),"",OFFSET('Smelter Reference List'!$I$4,$S2361-4,0))</f>
        <v/>
      </c>
      <c r="K2361" s="290"/>
      <c r="L2361" s="290"/>
      <c r="M2361" s="290"/>
      <c r="N2361" s="290"/>
      <c r="O2361" s="290"/>
      <c r="P2361" s="290"/>
      <c r="Q2361" s="291"/>
      <c r="R2361" s="276"/>
      <c r="S2361" s="277" t="e">
        <f>IF(OR(C2361="",C2361=T$4),NA(),MATCH($B2361&amp;$C2361,'Smelter Reference List'!$J:$J,0))</f>
        <v>#N/A</v>
      </c>
      <c r="T2361" s="278"/>
      <c r="U2361" s="278"/>
      <c r="V2361" s="278"/>
      <c r="W2361" s="278"/>
    </row>
    <row r="2362" spans="1:23" s="269" customFormat="1" ht="20.25">
      <c r="A2362" s="267"/>
      <c r="B2362" s="275"/>
      <c r="C2362" s="275"/>
      <c r="D2362" s="168" t="str">
        <f ca="1">IF(ISERROR($S2362),"",OFFSET('Smelter Reference List'!$C$4,$S2362-4,0)&amp;"")</f>
        <v/>
      </c>
      <c r="E2362" s="168" t="str">
        <f ca="1">IF(ISERROR($S2362),"",OFFSET('Smelter Reference List'!$D$4,$S2362-4,0)&amp;"")</f>
        <v/>
      </c>
      <c r="F2362" s="168" t="str">
        <f ca="1">IF(ISERROR($S2362),"",OFFSET('Smelter Reference List'!$E$4,$S2362-4,0))</f>
        <v/>
      </c>
      <c r="G2362" s="168" t="str">
        <f ca="1">IF(C2362=$U$4,"Enter smelter details", IF(ISERROR($S2362),"",OFFSET('Smelter Reference List'!$F$4,$S2362-4,0)))</f>
        <v/>
      </c>
      <c r="H2362" s="292" t="str">
        <f ca="1">IF(ISERROR($S2362),"",OFFSET('Smelter Reference List'!$G$4,$S2362-4,0))</f>
        <v/>
      </c>
      <c r="I2362" s="293" t="str">
        <f ca="1">IF(ISERROR($S2362),"",OFFSET('Smelter Reference List'!$H$4,$S2362-4,0))</f>
        <v/>
      </c>
      <c r="J2362" s="293" t="str">
        <f ca="1">IF(ISERROR($S2362),"",OFFSET('Smelter Reference List'!$I$4,$S2362-4,0))</f>
        <v/>
      </c>
      <c r="K2362" s="290"/>
      <c r="L2362" s="290"/>
      <c r="M2362" s="290"/>
      <c r="N2362" s="290"/>
      <c r="O2362" s="290"/>
      <c r="P2362" s="290"/>
      <c r="Q2362" s="291"/>
      <c r="R2362" s="276"/>
      <c r="S2362" s="277" t="e">
        <f>IF(OR(C2362="",C2362=T$4),NA(),MATCH($B2362&amp;$C2362,'Smelter Reference List'!$J:$J,0))</f>
        <v>#N/A</v>
      </c>
      <c r="T2362" s="278"/>
      <c r="U2362" s="278"/>
      <c r="V2362" s="278"/>
      <c r="W2362" s="278"/>
    </row>
    <row r="2363" spans="1:23" s="269" customFormat="1" ht="20.25">
      <c r="A2363" s="267"/>
      <c r="B2363" s="275"/>
      <c r="C2363" s="275"/>
      <c r="D2363" s="168" t="str">
        <f ca="1">IF(ISERROR($S2363),"",OFFSET('Smelter Reference List'!$C$4,$S2363-4,0)&amp;"")</f>
        <v/>
      </c>
      <c r="E2363" s="168" t="str">
        <f ca="1">IF(ISERROR($S2363),"",OFFSET('Smelter Reference List'!$D$4,$S2363-4,0)&amp;"")</f>
        <v/>
      </c>
      <c r="F2363" s="168" t="str">
        <f ca="1">IF(ISERROR($S2363),"",OFFSET('Smelter Reference List'!$E$4,$S2363-4,0))</f>
        <v/>
      </c>
      <c r="G2363" s="168" t="str">
        <f ca="1">IF(C2363=$U$4,"Enter smelter details", IF(ISERROR($S2363),"",OFFSET('Smelter Reference List'!$F$4,$S2363-4,0)))</f>
        <v/>
      </c>
      <c r="H2363" s="292" t="str">
        <f ca="1">IF(ISERROR($S2363),"",OFFSET('Smelter Reference List'!$G$4,$S2363-4,0))</f>
        <v/>
      </c>
      <c r="I2363" s="293" t="str">
        <f ca="1">IF(ISERROR($S2363),"",OFFSET('Smelter Reference List'!$H$4,$S2363-4,0))</f>
        <v/>
      </c>
      <c r="J2363" s="293" t="str">
        <f ca="1">IF(ISERROR($S2363),"",OFFSET('Smelter Reference List'!$I$4,$S2363-4,0))</f>
        <v/>
      </c>
      <c r="K2363" s="290"/>
      <c r="L2363" s="290"/>
      <c r="M2363" s="290"/>
      <c r="N2363" s="290"/>
      <c r="O2363" s="290"/>
      <c r="P2363" s="290"/>
      <c r="Q2363" s="291"/>
      <c r="R2363" s="276"/>
      <c r="S2363" s="277" t="e">
        <f>IF(OR(C2363="",C2363=T$4),NA(),MATCH($B2363&amp;$C2363,'Smelter Reference List'!$J:$J,0))</f>
        <v>#N/A</v>
      </c>
      <c r="T2363" s="278"/>
      <c r="U2363" s="278"/>
      <c r="V2363" s="278"/>
      <c r="W2363" s="278"/>
    </row>
    <row r="2364" spans="1:23" s="269" customFormat="1" ht="20.25">
      <c r="A2364" s="267"/>
      <c r="B2364" s="275"/>
      <c r="C2364" s="275"/>
      <c r="D2364" s="168" t="str">
        <f ca="1">IF(ISERROR($S2364),"",OFFSET('Smelter Reference List'!$C$4,$S2364-4,0)&amp;"")</f>
        <v/>
      </c>
      <c r="E2364" s="168" t="str">
        <f ca="1">IF(ISERROR($S2364),"",OFFSET('Smelter Reference List'!$D$4,$S2364-4,0)&amp;"")</f>
        <v/>
      </c>
      <c r="F2364" s="168" t="str">
        <f ca="1">IF(ISERROR($S2364),"",OFFSET('Smelter Reference List'!$E$4,$S2364-4,0))</f>
        <v/>
      </c>
      <c r="G2364" s="168" t="str">
        <f ca="1">IF(C2364=$U$4,"Enter smelter details", IF(ISERROR($S2364),"",OFFSET('Smelter Reference List'!$F$4,$S2364-4,0)))</f>
        <v/>
      </c>
      <c r="H2364" s="292" t="str">
        <f ca="1">IF(ISERROR($S2364),"",OFFSET('Smelter Reference List'!$G$4,$S2364-4,0))</f>
        <v/>
      </c>
      <c r="I2364" s="293" t="str">
        <f ca="1">IF(ISERROR($S2364),"",OFFSET('Smelter Reference List'!$H$4,$S2364-4,0))</f>
        <v/>
      </c>
      <c r="J2364" s="293" t="str">
        <f ca="1">IF(ISERROR($S2364),"",OFFSET('Smelter Reference List'!$I$4,$S2364-4,0))</f>
        <v/>
      </c>
      <c r="K2364" s="290"/>
      <c r="L2364" s="290"/>
      <c r="M2364" s="290"/>
      <c r="N2364" s="290"/>
      <c r="O2364" s="290"/>
      <c r="P2364" s="290"/>
      <c r="Q2364" s="291"/>
      <c r="R2364" s="276"/>
      <c r="S2364" s="277" t="e">
        <f>IF(OR(C2364="",C2364=T$4),NA(),MATCH($B2364&amp;$C2364,'Smelter Reference List'!$J:$J,0))</f>
        <v>#N/A</v>
      </c>
      <c r="T2364" s="278"/>
      <c r="U2364" s="278"/>
      <c r="V2364" s="278"/>
      <c r="W2364" s="278"/>
    </row>
    <row r="2365" spans="1:23" s="269" customFormat="1" ht="20.25">
      <c r="A2365" s="267"/>
      <c r="B2365" s="275"/>
      <c r="C2365" s="275"/>
      <c r="D2365" s="168" t="str">
        <f ca="1">IF(ISERROR($S2365),"",OFFSET('Smelter Reference List'!$C$4,$S2365-4,0)&amp;"")</f>
        <v/>
      </c>
      <c r="E2365" s="168" t="str">
        <f ca="1">IF(ISERROR($S2365),"",OFFSET('Smelter Reference List'!$D$4,$S2365-4,0)&amp;"")</f>
        <v/>
      </c>
      <c r="F2365" s="168" t="str">
        <f ca="1">IF(ISERROR($S2365),"",OFFSET('Smelter Reference List'!$E$4,$S2365-4,0))</f>
        <v/>
      </c>
      <c r="G2365" s="168" t="str">
        <f ca="1">IF(C2365=$U$4,"Enter smelter details", IF(ISERROR($S2365),"",OFFSET('Smelter Reference List'!$F$4,$S2365-4,0)))</f>
        <v/>
      </c>
      <c r="H2365" s="292" t="str">
        <f ca="1">IF(ISERROR($S2365),"",OFFSET('Smelter Reference List'!$G$4,$S2365-4,0))</f>
        <v/>
      </c>
      <c r="I2365" s="293" t="str">
        <f ca="1">IF(ISERROR($S2365),"",OFFSET('Smelter Reference List'!$H$4,$S2365-4,0))</f>
        <v/>
      </c>
      <c r="J2365" s="293" t="str">
        <f ca="1">IF(ISERROR($S2365),"",OFFSET('Smelter Reference List'!$I$4,$S2365-4,0))</f>
        <v/>
      </c>
      <c r="K2365" s="290"/>
      <c r="L2365" s="290"/>
      <c r="M2365" s="290"/>
      <c r="N2365" s="290"/>
      <c r="O2365" s="290"/>
      <c r="P2365" s="290"/>
      <c r="Q2365" s="291"/>
      <c r="R2365" s="276"/>
      <c r="S2365" s="277" t="e">
        <f>IF(OR(C2365="",C2365=T$4),NA(),MATCH($B2365&amp;$C2365,'Smelter Reference List'!$J:$J,0))</f>
        <v>#N/A</v>
      </c>
      <c r="T2365" s="278"/>
      <c r="U2365" s="278"/>
      <c r="V2365" s="278"/>
      <c r="W2365" s="278"/>
    </row>
    <row r="2366" spans="1:23" s="269" customFormat="1" ht="20.25">
      <c r="A2366" s="267"/>
      <c r="B2366" s="275"/>
      <c r="C2366" s="275"/>
      <c r="D2366" s="168" t="str">
        <f ca="1">IF(ISERROR($S2366),"",OFFSET('Smelter Reference List'!$C$4,$S2366-4,0)&amp;"")</f>
        <v/>
      </c>
      <c r="E2366" s="168" t="str">
        <f ca="1">IF(ISERROR($S2366),"",OFFSET('Smelter Reference List'!$D$4,$S2366-4,0)&amp;"")</f>
        <v/>
      </c>
      <c r="F2366" s="168" t="str">
        <f ca="1">IF(ISERROR($S2366),"",OFFSET('Smelter Reference List'!$E$4,$S2366-4,0))</f>
        <v/>
      </c>
      <c r="G2366" s="168" t="str">
        <f ca="1">IF(C2366=$U$4,"Enter smelter details", IF(ISERROR($S2366),"",OFFSET('Smelter Reference List'!$F$4,$S2366-4,0)))</f>
        <v/>
      </c>
      <c r="H2366" s="292" t="str">
        <f ca="1">IF(ISERROR($S2366),"",OFFSET('Smelter Reference List'!$G$4,$S2366-4,0))</f>
        <v/>
      </c>
      <c r="I2366" s="293" t="str">
        <f ca="1">IF(ISERROR($S2366),"",OFFSET('Smelter Reference List'!$H$4,$S2366-4,0))</f>
        <v/>
      </c>
      <c r="J2366" s="293" t="str">
        <f ca="1">IF(ISERROR($S2366),"",OFFSET('Smelter Reference List'!$I$4,$S2366-4,0))</f>
        <v/>
      </c>
      <c r="K2366" s="290"/>
      <c r="L2366" s="290"/>
      <c r="M2366" s="290"/>
      <c r="N2366" s="290"/>
      <c r="O2366" s="290"/>
      <c r="P2366" s="290"/>
      <c r="Q2366" s="291"/>
      <c r="R2366" s="276"/>
      <c r="S2366" s="277" t="e">
        <f>IF(OR(C2366="",C2366=T$4),NA(),MATCH($B2366&amp;$C2366,'Smelter Reference List'!$J:$J,0))</f>
        <v>#N/A</v>
      </c>
      <c r="T2366" s="278"/>
      <c r="U2366" s="278"/>
      <c r="V2366" s="278"/>
      <c r="W2366" s="278"/>
    </row>
    <row r="2367" spans="1:23" s="269" customFormat="1" ht="20.25">
      <c r="A2367" s="267"/>
      <c r="B2367" s="275"/>
      <c r="C2367" s="275"/>
      <c r="D2367" s="168" t="str">
        <f ca="1">IF(ISERROR($S2367),"",OFFSET('Smelter Reference List'!$C$4,$S2367-4,0)&amp;"")</f>
        <v/>
      </c>
      <c r="E2367" s="168" t="str">
        <f ca="1">IF(ISERROR($S2367),"",OFFSET('Smelter Reference List'!$D$4,$S2367-4,0)&amp;"")</f>
        <v/>
      </c>
      <c r="F2367" s="168" t="str">
        <f ca="1">IF(ISERROR($S2367),"",OFFSET('Smelter Reference List'!$E$4,$S2367-4,0))</f>
        <v/>
      </c>
      <c r="G2367" s="168" t="str">
        <f ca="1">IF(C2367=$U$4,"Enter smelter details", IF(ISERROR($S2367),"",OFFSET('Smelter Reference List'!$F$4,$S2367-4,0)))</f>
        <v/>
      </c>
      <c r="H2367" s="292" t="str">
        <f ca="1">IF(ISERROR($S2367),"",OFFSET('Smelter Reference List'!$G$4,$S2367-4,0))</f>
        <v/>
      </c>
      <c r="I2367" s="293" t="str">
        <f ca="1">IF(ISERROR($S2367),"",OFFSET('Smelter Reference List'!$H$4,$S2367-4,0))</f>
        <v/>
      </c>
      <c r="J2367" s="293" t="str">
        <f ca="1">IF(ISERROR($S2367),"",OFFSET('Smelter Reference List'!$I$4,$S2367-4,0))</f>
        <v/>
      </c>
      <c r="K2367" s="290"/>
      <c r="L2367" s="290"/>
      <c r="M2367" s="290"/>
      <c r="N2367" s="290"/>
      <c r="O2367" s="290"/>
      <c r="P2367" s="290"/>
      <c r="Q2367" s="291"/>
      <c r="R2367" s="276"/>
      <c r="S2367" s="277" t="e">
        <f>IF(OR(C2367="",C2367=T$4),NA(),MATCH($B2367&amp;$C2367,'Smelter Reference List'!$J:$J,0))</f>
        <v>#N/A</v>
      </c>
      <c r="T2367" s="278"/>
      <c r="U2367" s="278"/>
      <c r="V2367" s="278"/>
      <c r="W2367" s="278"/>
    </row>
    <row r="2368" spans="1:23" s="269" customFormat="1" ht="20.25">
      <c r="A2368" s="267"/>
      <c r="B2368" s="275"/>
      <c r="C2368" s="275"/>
      <c r="D2368" s="168" t="str">
        <f ca="1">IF(ISERROR($S2368),"",OFFSET('Smelter Reference List'!$C$4,$S2368-4,0)&amp;"")</f>
        <v/>
      </c>
      <c r="E2368" s="168" t="str">
        <f ca="1">IF(ISERROR($S2368),"",OFFSET('Smelter Reference List'!$D$4,$S2368-4,0)&amp;"")</f>
        <v/>
      </c>
      <c r="F2368" s="168" t="str">
        <f ca="1">IF(ISERROR($S2368),"",OFFSET('Smelter Reference List'!$E$4,$S2368-4,0))</f>
        <v/>
      </c>
      <c r="G2368" s="168" t="str">
        <f ca="1">IF(C2368=$U$4,"Enter smelter details", IF(ISERROR($S2368),"",OFFSET('Smelter Reference List'!$F$4,$S2368-4,0)))</f>
        <v/>
      </c>
      <c r="H2368" s="292" t="str">
        <f ca="1">IF(ISERROR($S2368),"",OFFSET('Smelter Reference List'!$G$4,$S2368-4,0))</f>
        <v/>
      </c>
      <c r="I2368" s="293" t="str">
        <f ca="1">IF(ISERROR($S2368),"",OFFSET('Smelter Reference List'!$H$4,$S2368-4,0))</f>
        <v/>
      </c>
      <c r="J2368" s="293" t="str">
        <f ca="1">IF(ISERROR($S2368),"",OFFSET('Smelter Reference List'!$I$4,$S2368-4,0))</f>
        <v/>
      </c>
      <c r="K2368" s="290"/>
      <c r="L2368" s="290"/>
      <c r="M2368" s="290"/>
      <c r="N2368" s="290"/>
      <c r="O2368" s="290"/>
      <c r="P2368" s="290"/>
      <c r="Q2368" s="291"/>
      <c r="R2368" s="276"/>
      <c r="S2368" s="277" t="e">
        <f>IF(OR(C2368="",C2368=T$4),NA(),MATCH($B2368&amp;$C2368,'Smelter Reference List'!$J:$J,0))</f>
        <v>#N/A</v>
      </c>
      <c r="T2368" s="278"/>
      <c r="U2368" s="278"/>
      <c r="V2368" s="278"/>
      <c r="W2368" s="278"/>
    </row>
    <row r="2369" spans="1:23" s="269" customFormat="1" ht="20.25">
      <c r="A2369" s="267"/>
      <c r="B2369" s="275"/>
      <c r="C2369" s="275"/>
      <c r="D2369" s="168" t="str">
        <f ca="1">IF(ISERROR($S2369),"",OFFSET('Smelter Reference List'!$C$4,$S2369-4,0)&amp;"")</f>
        <v/>
      </c>
      <c r="E2369" s="168" t="str">
        <f ca="1">IF(ISERROR($S2369),"",OFFSET('Smelter Reference List'!$D$4,$S2369-4,0)&amp;"")</f>
        <v/>
      </c>
      <c r="F2369" s="168" t="str">
        <f ca="1">IF(ISERROR($S2369),"",OFFSET('Smelter Reference List'!$E$4,$S2369-4,0))</f>
        <v/>
      </c>
      <c r="G2369" s="168" t="str">
        <f ca="1">IF(C2369=$U$4,"Enter smelter details", IF(ISERROR($S2369),"",OFFSET('Smelter Reference List'!$F$4,$S2369-4,0)))</f>
        <v/>
      </c>
      <c r="H2369" s="292" t="str">
        <f ca="1">IF(ISERROR($S2369),"",OFFSET('Smelter Reference List'!$G$4,$S2369-4,0))</f>
        <v/>
      </c>
      <c r="I2369" s="293" t="str">
        <f ca="1">IF(ISERROR($S2369),"",OFFSET('Smelter Reference List'!$H$4,$S2369-4,0))</f>
        <v/>
      </c>
      <c r="J2369" s="293" t="str">
        <f ca="1">IF(ISERROR($S2369),"",OFFSET('Smelter Reference List'!$I$4,$S2369-4,0))</f>
        <v/>
      </c>
      <c r="K2369" s="290"/>
      <c r="L2369" s="290"/>
      <c r="M2369" s="290"/>
      <c r="N2369" s="290"/>
      <c r="O2369" s="290"/>
      <c r="P2369" s="290"/>
      <c r="Q2369" s="291"/>
      <c r="R2369" s="276"/>
      <c r="S2369" s="277" t="e">
        <f>IF(OR(C2369="",C2369=T$4),NA(),MATCH($B2369&amp;$C2369,'Smelter Reference List'!$J:$J,0))</f>
        <v>#N/A</v>
      </c>
      <c r="T2369" s="278"/>
      <c r="U2369" s="278"/>
      <c r="V2369" s="278"/>
      <c r="W2369" s="278"/>
    </row>
    <row r="2370" spans="1:23" s="269" customFormat="1" ht="20.25">
      <c r="A2370" s="267"/>
      <c r="B2370" s="275"/>
      <c r="C2370" s="275"/>
      <c r="D2370" s="168" t="str">
        <f ca="1">IF(ISERROR($S2370),"",OFFSET('Smelter Reference List'!$C$4,$S2370-4,0)&amp;"")</f>
        <v/>
      </c>
      <c r="E2370" s="168" t="str">
        <f ca="1">IF(ISERROR($S2370),"",OFFSET('Smelter Reference List'!$D$4,$S2370-4,0)&amp;"")</f>
        <v/>
      </c>
      <c r="F2370" s="168" t="str">
        <f ca="1">IF(ISERROR($S2370),"",OFFSET('Smelter Reference List'!$E$4,$S2370-4,0))</f>
        <v/>
      </c>
      <c r="G2370" s="168" t="str">
        <f ca="1">IF(C2370=$U$4,"Enter smelter details", IF(ISERROR($S2370),"",OFFSET('Smelter Reference List'!$F$4,$S2370-4,0)))</f>
        <v/>
      </c>
      <c r="H2370" s="292" t="str">
        <f ca="1">IF(ISERROR($S2370),"",OFFSET('Smelter Reference List'!$G$4,$S2370-4,0))</f>
        <v/>
      </c>
      <c r="I2370" s="293" t="str">
        <f ca="1">IF(ISERROR($S2370),"",OFFSET('Smelter Reference List'!$H$4,$S2370-4,0))</f>
        <v/>
      </c>
      <c r="J2370" s="293" t="str">
        <f ca="1">IF(ISERROR($S2370),"",OFFSET('Smelter Reference List'!$I$4,$S2370-4,0))</f>
        <v/>
      </c>
      <c r="K2370" s="290"/>
      <c r="L2370" s="290"/>
      <c r="M2370" s="290"/>
      <c r="N2370" s="290"/>
      <c r="O2370" s="290"/>
      <c r="P2370" s="290"/>
      <c r="Q2370" s="291"/>
      <c r="R2370" s="276"/>
      <c r="S2370" s="277" t="e">
        <f>IF(OR(C2370="",C2370=T$4),NA(),MATCH($B2370&amp;$C2370,'Smelter Reference List'!$J:$J,0))</f>
        <v>#N/A</v>
      </c>
      <c r="T2370" s="278"/>
      <c r="U2370" s="278"/>
      <c r="V2370" s="278"/>
      <c r="W2370" s="278"/>
    </row>
    <row r="2371" spans="1:23" s="269" customFormat="1" ht="20.25">
      <c r="A2371" s="267"/>
      <c r="B2371" s="275"/>
      <c r="C2371" s="275"/>
      <c r="D2371" s="168" t="str">
        <f ca="1">IF(ISERROR($S2371),"",OFFSET('Smelter Reference List'!$C$4,$S2371-4,0)&amp;"")</f>
        <v/>
      </c>
      <c r="E2371" s="168" t="str">
        <f ca="1">IF(ISERROR($S2371),"",OFFSET('Smelter Reference List'!$D$4,$S2371-4,0)&amp;"")</f>
        <v/>
      </c>
      <c r="F2371" s="168" t="str">
        <f ca="1">IF(ISERROR($S2371),"",OFFSET('Smelter Reference List'!$E$4,$S2371-4,0))</f>
        <v/>
      </c>
      <c r="G2371" s="168" t="str">
        <f ca="1">IF(C2371=$U$4,"Enter smelter details", IF(ISERROR($S2371),"",OFFSET('Smelter Reference List'!$F$4,$S2371-4,0)))</f>
        <v/>
      </c>
      <c r="H2371" s="292" t="str">
        <f ca="1">IF(ISERROR($S2371),"",OFFSET('Smelter Reference List'!$G$4,$S2371-4,0))</f>
        <v/>
      </c>
      <c r="I2371" s="293" t="str">
        <f ca="1">IF(ISERROR($S2371),"",OFFSET('Smelter Reference List'!$H$4,$S2371-4,0))</f>
        <v/>
      </c>
      <c r="J2371" s="293" t="str">
        <f ca="1">IF(ISERROR($S2371),"",OFFSET('Smelter Reference List'!$I$4,$S2371-4,0))</f>
        <v/>
      </c>
      <c r="K2371" s="290"/>
      <c r="L2371" s="290"/>
      <c r="M2371" s="290"/>
      <c r="N2371" s="290"/>
      <c r="O2371" s="290"/>
      <c r="P2371" s="290"/>
      <c r="Q2371" s="291"/>
      <c r="R2371" s="276"/>
      <c r="S2371" s="277" t="e">
        <f>IF(OR(C2371="",C2371=T$4),NA(),MATCH($B2371&amp;$C2371,'Smelter Reference List'!$J:$J,0))</f>
        <v>#N/A</v>
      </c>
      <c r="T2371" s="278"/>
      <c r="U2371" s="278"/>
      <c r="V2371" s="278"/>
      <c r="W2371" s="278"/>
    </row>
    <row r="2372" spans="1:23" s="269" customFormat="1" ht="20.25">
      <c r="A2372" s="267"/>
      <c r="B2372" s="275"/>
      <c r="C2372" s="275"/>
      <c r="D2372" s="168" t="str">
        <f ca="1">IF(ISERROR($S2372),"",OFFSET('Smelter Reference List'!$C$4,$S2372-4,0)&amp;"")</f>
        <v/>
      </c>
      <c r="E2372" s="168" t="str">
        <f ca="1">IF(ISERROR($S2372),"",OFFSET('Smelter Reference List'!$D$4,$S2372-4,0)&amp;"")</f>
        <v/>
      </c>
      <c r="F2372" s="168" t="str">
        <f ca="1">IF(ISERROR($S2372),"",OFFSET('Smelter Reference List'!$E$4,$S2372-4,0))</f>
        <v/>
      </c>
      <c r="G2372" s="168" t="str">
        <f ca="1">IF(C2372=$U$4,"Enter smelter details", IF(ISERROR($S2372),"",OFFSET('Smelter Reference List'!$F$4,$S2372-4,0)))</f>
        <v/>
      </c>
      <c r="H2372" s="292" t="str">
        <f ca="1">IF(ISERROR($S2372),"",OFFSET('Smelter Reference List'!$G$4,$S2372-4,0))</f>
        <v/>
      </c>
      <c r="I2372" s="293" t="str">
        <f ca="1">IF(ISERROR($S2372),"",OFFSET('Smelter Reference List'!$H$4,$S2372-4,0))</f>
        <v/>
      </c>
      <c r="J2372" s="293" t="str">
        <f ca="1">IF(ISERROR($S2372),"",OFFSET('Smelter Reference List'!$I$4,$S2372-4,0))</f>
        <v/>
      </c>
      <c r="K2372" s="290"/>
      <c r="L2372" s="290"/>
      <c r="M2372" s="290"/>
      <c r="N2372" s="290"/>
      <c r="O2372" s="290"/>
      <c r="P2372" s="290"/>
      <c r="Q2372" s="291"/>
      <c r="R2372" s="276"/>
      <c r="S2372" s="277" t="e">
        <f>IF(OR(C2372="",C2372=T$4),NA(),MATCH($B2372&amp;$C2372,'Smelter Reference List'!$J:$J,0))</f>
        <v>#N/A</v>
      </c>
      <c r="T2372" s="278"/>
      <c r="U2372" s="278"/>
      <c r="V2372" s="278"/>
      <c r="W2372" s="278"/>
    </row>
    <row r="2373" spans="1:23" s="269" customFormat="1" ht="20.25">
      <c r="A2373" s="267"/>
      <c r="B2373" s="275"/>
      <c r="C2373" s="275"/>
      <c r="D2373" s="168" t="str">
        <f ca="1">IF(ISERROR($S2373),"",OFFSET('Smelter Reference List'!$C$4,$S2373-4,0)&amp;"")</f>
        <v/>
      </c>
      <c r="E2373" s="168" t="str">
        <f ca="1">IF(ISERROR($S2373),"",OFFSET('Smelter Reference List'!$D$4,$S2373-4,0)&amp;"")</f>
        <v/>
      </c>
      <c r="F2373" s="168" t="str">
        <f ca="1">IF(ISERROR($S2373),"",OFFSET('Smelter Reference List'!$E$4,$S2373-4,0))</f>
        <v/>
      </c>
      <c r="G2373" s="168" t="str">
        <f ca="1">IF(C2373=$U$4,"Enter smelter details", IF(ISERROR($S2373),"",OFFSET('Smelter Reference List'!$F$4,$S2373-4,0)))</f>
        <v/>
      </c>
      <c r="H2373" s="292" t="str">
        <f ca="1">IF(ISERROR($S2373),"",OFFSET('Smelter Reference List'!$G$4,$S2373-4,0))</f>
        <v/>
      </c>
      <c r="I2373" s="293" t="str">
        <f ca="1">IF(ISERROR($S2373),"",OFFSET('Smelter Reference List'!$H$4,$S2373-4,0))</f>
        <v/>
      </c>
      <c r="J2373" s="293" t="str">
        <f ca="1">IF(ISERROR($S2373),"",OFFSET('Smelter Reference List'!$I$4,$S2373-4,0))</f>
        <v/>
      </c>
      <c r="K2373" s="290"/>
      <c r="L2373" s="290"/>
      <c r="M2373" s="290"/>
      <c r="N2373" s="290"/>
      <c r="O2373" s="290"/>
      <c r="P2373" s="290"/>
      <c r="Q2373" s="291"/>
      <c r="R2373" s="276"/>
      <c r="S2373" s="277" t="e">
        <f>IF(OR(C2373="",C2373=T$4),NA(),MATCH($B2373&amp;$C2373,'Smelter Reference List'!$J:$J,0))</f>
        <v>#N/A</v>
      </c>
      <c r="T2373" s="278"/>
      <c r="U2373" s="278"/>
      <c r="V2373" s="278"/>
      <c r="W2373" s="278"/>
    </row>
    <row r="2374" spans="1:23" s="269" customFormat="1" ht="20.25">
      <c r="A2374" s="267"/>
      <c r="B2374" s="275"/>
      <c r="C2374" s="275"/>
      <c r="D2374" s="168" t="str">
        <f ca="1">IF(ISERROR($S2374),"",OFFSET('Smelter Reference List'!$C$4,$S2374-4,0)&amp;"")</f>
        <v/>
      </c>
      <c r="E2374" s="168" t="str">
        <f ca="1">IF(ISERROR($S2374),"",OFFSET('Smelter Reference List'!$D$4,$S2374-4,0)&amp;"")</f>
        <v/>
      </c>
      <c r="F2374" s="168" t="str">
        <f ca="1">IF(ISERROR($S2374),"",OFFSET('Smelter Reference List'!$E$4,$S2374-4,0))</f>
        <v/>
      </c>
      <c r="G2374" s="168" t="str">
        <f ca="1">IF(C2374=$U$4,"Enter smelter details", IF(ISERROR($S2374),"",OFFSET('Smelter Reference List'!$F$4,$S2374-4,0)))</f>
        <v/>
      </c>
      <c r="H2374" s="292" t="str">
        <f ca="1">IF(ISERROR($S2374),"",OFFSET('Smelter Reference List'!$G$4,$S2374-4,0))</f>
        <v/>
      </c>
      <c r="I2374" s="293" t="str">
        <f ca="1">IF(ISERROR($S2374),"",OFFSET('Smelter Reference List'!$H$4,$S2374-4,0))</f>
        <v/>
      </c>
      <c r="J2374" s="293" t="str">
        <f ca="1">IF(ISERROR($S2374),"",OFFSET('Smelter Reference List'!$I$4,$S2374-4,0))</f>
        <v/>
      </c>
      <c r="K2374" s="290"/>
      <c r="L2374" s="290"/>
      <c r="M2374" s="290"/>
      <c r="N2374" s="290"/>
      <c r="O2374" s="290"/>
      <c r="P2374" s="290"/>
      <c r="Q2374" s="291"/>
      <c r="R2374" s="276"/>
      <c r="S2374" s="277" t="e">
        <f>IF(OR(C2374="",C2374=T$4),NA(),MATCH($B2374&amp;$C2374,'Smelter Reference List'!$J:$J,0))</f>
        <v>#N/A</v>
      </c>
      <c r="T2374" s="278"/>
      <c r="U2374" s="278"/>
      <c r="V2374" s="278"/>
      <c r="W2374" s="278"/>
    </row>
    <row r="2375" spans="1:23" s="269" customFormat="1" ht="20.25">
      <c r="A2375" s="267"/>
      <c r="B2375" s="275"/>
      <c r="C2375" s="275"/>
      <c r="D2375" s="168" t="str">
        <f ca="1">IF(ISERROR($S2375),"",OFFSET('Smelter Reference List'!$C$4,$S2375-4,0)&amp;"")</f>
        <v/>
      </c>
      <c r="E2375" s="168" t="str">
        <f ca="1">IF(ISERROR($S2375),"",OFFSET('Smelter Reference List'!$D$4,$S2375-4,0)&amp;"")</f>
        <v/>
      </c>
      <c r="F2375" s="168" t="str">
        <f ca="1">IF(ISERROR($S2375),"",OFFSET('Smelter Reference List'!$E$4,$S2375-4,0))</f>
        <v/>
      </c>
      <c r="G2375" s="168" t="str">
        <f ca="1">IF(C2375=$U$4,"Enter smelter details", IF(ISERROR($S2375),"",OFFSET('Smelter Reference List'!$F$4,$S2375-4,0)))</f>
        <v/>
      </c>
      <c r="H2375" s="292" t="str">
        <f ca="1">IF(ISERROR($S2375),"",OFFSET('Smelter Reference List'!$G$4,$S2375-4,0))</f>
        <v/>
      </c>
      <c r="I2375" s="293" t="str">
        <f ca="1">IF(ISERROR($S2375),"",OFFSET('Smelter Reference List'!$H$4,$S2375-4,0))</f>
        <v/>
      </c>
      <c r="J2375" s="293" t="str">
        <f ca="1">IF(ISERROR($S2375),"",OFFSET('Smelter Reference List'!$I$4,$S2375-4,0))</f>
        <v/>
      </c>
      <c r="K2375" s="290"/>
      <c r="L2375" s="290"/>
      <c r="M2375" s="290"/>
      <c r="N2375" s="290"/>
      <c r="O2375" s="290"/>
      <c r="P2375" s="290"/>
      <c r="Q2375" s="291"/>
      <c r="R2375" s="276"/>
      <c r="S2375" s="277" t="e">
        <f>IF(OR(C2375="",C2375=T$4),NA(),MATCH($B2375&amp;$C2375,'Smelter Reference List'!$J:$J,0))</f>
        <v>#N/A</v>
      </c>
      <c r="T2375" s="278"/>
      <c r="U2375" s="278"/>
      <c r="V2375" s="278"/>
      <c r="W2375" s="278"/>
    </row>
    <row r="2376" spans="1:23" s="269" customFormat="1" ht="20.25">
      <c r="A2376" s="267"/>
      <c r="B2376" s="275"/>
      <c r="C2376" s="275"/>
      <c r="D2376" s="168" t="str">
        <f ca="1">IF(ISERROR($S2376),"",OFFSET('Smelter Reference List'!$C$4,$S2376-4,0)&amp;"")</f>
        <v/>
      </c>
      <c r="E2376" s="168" t="str">
        <f ca="1">IF(ISERROR($S2376),"",OFFSET('Smelter Reference List'!$D$4,$S2376-4,0)&amp;"")</f>
        <v/>
      </c>
      <c r="F2376" s="168" t="str">
        <f ca="1">IF(ISERROR($S2376),"",OFFSET('Smelter Reference List'!$E$4,$S2376-4,0))</f>
        <v/>
      </c>
      <c r="G2376" s="168" t="str">
        <f ca="1">IF(C2376=$U$4,"Enter smelter details", IF(ISERROR($S2376),"",OFFSET('Smelter Reference List'!$F$4,$S2376-4,0)))</f>
        <v/>
      </c>
      <c r="H2376" s="292" t="str">
        <f ca="1">IF(ISERROR($S2376),"",OFFSET('Smelter Reference List'!$G$4,$S2376-4,0))</f>
        <v/>
      </c>
      <c r="I2376" s="293" t="str">
        <f ca="1">IF(ISERROR($S2376),"",OFFSET('Smelter Reference List'!$H$4,$S2376-4,0))</f>
        <v/>
      </c>
      <c r="J2376" s="293" t="str">
        <f ca="1">IF(ISERROR($S2376),"",OFFSET('Smelter Reference List'!$I$4,$S2376-4,0))</f>
        <v/>
      </c>
      <c r="K2376" s="290"/>
      <c r="L2376" s="290"/>
      <c r="M2376" s="290"/>
      <c r="N2376" s="290"/>
      <c r="O2376" s="290"/>
      <c r="P2376" s="290"/>
      <c r="Q2376" s="291"/>
      <c r="R2376" s="276"/>
      <c r="S2376" s="277" t="e">
        <f>IF(OR(C2376="",C2376=T$4),NA(),MATCH($B2376&amp;$C2376,'Smelter Reference List'!$J:$J,0))</f>
        <v>#N/A</v>
      </c>
      <c r="T2376" s="278"/>
      <c r="U2376" s="278"/>
      <c r="V2376" s="278"/>
      <c r="W2376" s="278"/>
    </row>
    <row r="2377" spans="1:23" s="269" customFormat="1" ht="20.25">
      <c r="A2377" s="267"/>
      <c r="B2377" s="275"/>
      <c r="C2377" s="275"/>
      <c r="D2377" s="168" t="str">
        <f ca="1">IF(ISERROR($S2377),"",OFFSET('Smelter Reference List'!$C$4,$S2377-4,0)&amp;"")</f>
        <v/>
      </c>
      <c r="E2377" s="168" t="str">
        <f ca="1">IF(ISERROR($S2377),"",OFFSET('Smelter Reference List'!$D$4,$S2377-4,0)&amp;"")</f>
        <v/>
      </c>
      <c r="F2377" s="168" t="str">
        <f ca="1">IF(ISERROR($S2377),"",OFFSET('Smelter Reference List'!$E$4,$S2377-4,0))</f>
        <v/>
      </c>
      <c r="G2377" s="168" t="str">
        <f ca="1">IF(C2377=$U$4,"Enter smelter details", IF(ISERROR($S2377),"",OFFSET('Smelter Reference List'!$F$4,$S2377-4,0)))</f>
        <v/>
      </c>
      <c r="H2377" s="292" t="str">
        <f ca="1">IF(ISERROR($S2377),"",OFFSET('Smelter Reference List'!$G$4,$S2377-4,0))</f>
        <v/>
      </c>
      <c r="I2377" s="293" t="str">
        <f ca="1">IF(ISERROR($S2377),"",OFFSET('Smelter Reference List'!$H$4,$S2377-4,0))</f>
        <v/>
      </c>
      <c r="J2377" s="293" t="str">
        <f ca="1">IF(ISERROR($S2377),"",OFFSET('Smelter Reference List'!$I$4,$S2377-4,0))</f>
        <v/>
      </c>
      <c r="K2377" s="290"/>
      <c r="L2377" s="290"/>
      <c r="M2377" s="290"/>
      <c r="N2377" s="290"/>
      <c r="O2377" s="290"/>
      <c r="P2377" s="290"/>
      <c r="Q2377" s="291"/>
      <c r="R2377" s="276"/>
      <c r="S2377" s="277" t="e">
        <f>IF(OR(C2377="",C2377=T$4),NA(),MATCH($B2377&amp;$C2377,'Smelter Reference List'!$J:$J,0))</f>
        <v>#N/A</v>
      </c>
      <c r="T2377" s="278"/>
      <c r="U2377" s="278"/>
      <c r="V2377" s="278"/>
      <c r="W2377" s="278"/>
    </row>
    <row r="2378" spans="1:23" s="269" customFormat="1" ht="20.25">
      <c r="A2378" s="267"/>
      <c r="B2378" s="275"/>
      <c r="C2378" s="275"/>
      <c r="D2378" s="168" t="str">
        <f ca="1">IF(ISERROR($S2378),"",OFFSET('Smelter Reference List'!$C$4,$S2378-4,0)&amp;"")</f>
        <v/>
      </c>
      <c r="E2378" s="168" t="str">
        <f ca="1">IF(ISERROR($S2378),"",OFFSET('Smelter Reference List'!$D$4,$S2378-4,0)&amp;"")</f>
        <v/>
      </c>
      <c r="F2378" s="168" t="str">
        <f ca="1">IF(ISERROR($S2378),"",OFFSET('Smelter Reference List'!$E$4,$S2378-4,0))</f>
        <v/>
      </c>
      <c r="G2378" s="168" t="str">
        <f ca="1">IF(C2378=$U$4,"Enter smelter details", IF(ISERROR($S2378),"",OFFSET('Smelter Reference List'!$F$4,$S2378-4,0)))</f>
        <v/>
      </c>
      <c r="H2378" s="292" t="str">
        <f ca="1">IF(ISERROR($S2378),"",OFFSET('Smelter Reference List'!$G$4,$S2378-4,0))</f>
        <v/>
      </c>
      <c r="I2378" s="293" t="str">
        <f ca="1">IF(ISERROR($S2378),"",OFFSET('Smelter Reference List'!$H$4,$S2378-4,0))</f>
        <v/>
      </c>
      <c r="J2378" s="293" t="str">
        <f ca="1">IF(ISERROR($S2378),"",OFFSET('Smelter Reference List'!$I$4,$S2378-4,0))</f>
        <v/>
      </c>
      <c r="K2378" s="290"/>
      <c r="L2378" s="290"/>
      <c r="M2378" s="290"/>
      <c r="N2378" s="290"/>
      <c r="O2378" s="290"/>
      <c r="P2378" s="290"/>
      <c r="Q2378" s="291"/>
      <c r="R2378" s="276"/>
      <c r="S2378" s="277" t="e">
        <f>IF(OR(C2378="",C2378=T$4),NA(),MATCH($B2378&amp;$C2378,'Smelter Reference List'!$J:$J,0))</f>
        <v>#N/A</v>
      </c>
      <c r="T2378" s="278"/>
      <c r="U2378" s="278"/>
      <c r="V2378" s="278"/>
      <c r="W2378" s="278"/>
    </row>
    <row r="2379" spans="1:23" s="269" customFormat="1" ht="20.25">
      <c r="A2379" s="267"/>
      <c r="B2379" s="275"/>
      <c r="C2379" s="275"/>
      <c r="D2379" s="168" t="str">
        <f ca="1">IF(ISERROR($S2379),"",OFFSET('Smelter Reference List'!$C$4,$S2379-4,0)&amp;"")</f>
        <v/>
      </c>
      <c r="E2379" s="168" t="str">
        <f ca="1">IF(ISERROR($S2379),"",OFFSET('Smelter Reference List'!$D$4,$S2379-4,0)&amp;"")</f>
        <v/>
      </c>
      <c r="F2379" s="168" t="str">
        <f ca="1">IF(ISERROR($S2379),"",OFFSET('Smelter Reference List'!$E$4,$S2379-4,0))</f>
        <v/>
      </c>
      <c r="G2379" s="168" t="str">
        <f ca="1">IF(C2379=$U$4,"Enter smelter details", IF(ISERROR($S2379),"",OFFSET('Smelter Reference List'!$F$4,$S2379-4,0)))</f>
        <v/>
      </c>
      <c r="H2379" s="292" t="str">
        <f ca="1">IF(ISERROR($S2379),"",OFFSET('Smelter Reference List'!$G$4,$S2379-4,0))</f>
        <v/>
      </c>
      <c r="I2379" s="293" t="str">
        <f ca="1">IF(ISERROR($S2379),"",OFFSET('Smelter Reference List'!$H$4,$S2379-4,0))</f>
        <v/>
      </c>
      <c r="J2379" s="293" t="str">
        <f ca="1">IF(ISERROR($S2379),"",OFFSET('Smelter Reference List'!$I$4,$S2379-4,0))</f>
        <v/>
      </c>
      <c r="K2379" s="290"/>
      <c r="L2379" s="290"/>
      <c r="M2379" s="290"/>
      <c r="N2379" s="290"/>
      <c r="O2379" s="290"/>
      <c r="P2379" s="290"/>
      <c r="Q2379" s="291"/>
      <c r="R2379" s="276"/>
      <c r="S2379" s="277" t="e">
        <f>IF(OR(C2379="",C2379=T$4),NA(),MATCH($B2379&amp;$C2379,'Smelter Reference List'!$J:$J,0))</f>
        <v>#N/A</v>
      </c>
      <c r="T2379" s="278"/>
      <c r="U2379" s="278"/>
      <c r="V2379" s="278"/>
      <c r="W2379" s="278"/>
    </row>
    <row r="2380" spans="1:23" s="269" customFormat="1" ht="20.25">
      <c r="A2380" s="267"/>
      <c r="B2380" s="275"/>
      <c r="C2380" s="275"/>
      <c r="D2380" s="168" t="str">
        <f ca="1">IF(ISERROR($S2380),"",OFFSET('Smelter Reference List'!$C$4,$S2380-4,0)&amp;"")</f>
        <v/>
      </c>
      <c r="E2380" s="168" t="str">
        <f ca="1">IF(ISERROR($S2380),"",OFFSET('Smelter Reference List'!$D$4,$S2380-4,0)&amp;"")</f>
        <v/>
      </c>
      <c r="F2380" s="168" t="str">
        <f ca="1">IF(ISERROR($S2380),"",OFFSET('Smelter Reference List'!$E$4,$S2380-4,0))</f>
        <v/>
      </c>
      <c r="G2380" s="168" t="str">
        <f ca="1">IF(C2380=$U$4,"Enter smelter details", IF(ISERROR($S2380),"",OFFSET('Smelter Reference List'!$F$4,$S2380-4,0)))</f>
        <v/>
      </c>
      <c r="H2380" s="292" t="str">
        <f ca="1">IF(ISERROR($S2380),"",OFFSET('Smelter Reference List'!$G$4,$S2380-4,0))</f>
        <v/>
      </c>
      <c r="I2380" s="293" t="str">
        <f ca="1">IF(ISERROR($S2380),"",OFFSET('Smelter Reference List'!$H$4,$S2380-4,0))</f>
        <v/>
      </c>
      <c r="J2380" s="293" t="str">
        <f ca="1">IF(ISERROR($S2380),"",OFFSET('Smelter Reference List'!$I$4,$S2380-4,0))</f>
        <v/>
      </c>
      <c r="K2380" s="290"/>
      <c r="L2380" s="290"/>
      <c r="M2380" s="290"/>
      <c r="N2380" s="290"/>
      <c r="O2380" s="290"/>
      <c r="P2380" s="290"/>
      <c r="Q2380" s="291"/>
      <c r="R2380" s="276"/>
      <c r="S2380" s="277" t="e">
        <f>IF(OR(C2380="",C2380=T$4),NA(),MATCH($B2380&amp;$C2380,'Smelter Reference List'!$J:$J,0))</f>
        <v>#N/A</v>
      </c>
      <c r="T2380" s="278"/>
      <c r="U2380" s="278"/>
      <c r="V2380" s="278"/>
      <c r="W2380" s="278"/>
    </row>
    <row r="2381" spans="1:23" s="269" customFormat="1" ht="20.25">
      <c r="A2381" s="267"/>
      <c r="B2381" s="275"/>
      <c r="C2381" s="275"/>
      <c r="D2381" s="168" t="str">
        <f ca="1">IF(ISERROR($S2381),"",OFFSET('Smelter Reference List'!$C$4,$S2381-4,0)&amp;"")</f>
        <v/>
      </c>
      <c r="E2381" s="168" t="str">
        <f ca="1">IF(ISERROR($S2381),"",OFFSET('Smelter Reference List'!$D$4,$S2381-4,0)&amp;"")</f>
        <v/>
      </c>
      <c r="F2381" s="168" t="str">
        <f ca="1">IF(ISERROR($S2381),"",OFFSET('Smelter Reference List'!$E$4,$S2381-4,0))</f>
        <v/>
      </c>
      <c r="G2381" s="168" t="str">
        <f ca="1">IF(C2381=$U$4,"Enter smelter details", IF(ISERROR($S2381),"",OFFSET('Smelter Reference List'!$F$4,$S2381-4,0)))</f>
        <v/>
      </c>
      <c r="H2381" s="292" t="str">
        <f ca="1">IF(ISERROR($S2381),"",OFFSET('Smelter Reference List'!$G$4,$S2381-4,0))</f>
        <v/>
      </c>
      <c r="I2381" s="293" t="str">
        <f ca="1">IF(ISERROR($S2381),"",OFFSET('Smelter Reference List'!$H$4,$S2381-4,0))</f>
        <v/>
      </c>
      <c r="J2381" s="293" t="str">
        <f ca="1">IF(ISERROR($S2381),"",OFFSET('Smelter Reference List'!$I$4,$S2381-4,0))</f>
        <v/>
      </c>
      <c r="K2381" s="290"/>
      <c r="L2381" s="290"/>
      <c r="M2381" s="290"/>
      <c r="N2381" s="290"/>
      <c r="O2381" s="290"/>
      <c r="P2381" s="290"/>
      <c r="Q2381" s="291"/>
      <c r="R2381" s="276"/>
      <c r="S2381" s="277" t="e">
        <f>IF(OR(C2381="",C2381=T$4),NA(),MATCH($B2381&amp;$C2381,'Smelter Reference List'!$J:$J,0))</f>
        <v>#N/A</v>
      </c>
      <c r="T2381" s="278"/>
      <c r="U2381" s="278"/>
      <c r="V2381" s="278"/>
      <c r="W2381" s="278"/>
    </row>
    <row r="2382" spans="1:23" s="269" customFormat="1" ht="20.25">
      <c r="A2382" s="267"/>
      <c r="B2382" s="275"/>
      <c r="C2382" s="275"/>
      <c r="D2382" s="168" t="str">
        <f ca="1">IF(ISERROR($S2382),"",OFFSET('Smelter Reference List'!$C$4,$S2382-4,0)&amp;"")</f>
        <v/>
      </c>
      <c r="E2382" s="168" t="str">
        <f ca="1">IF(ISERROR($S2382),"",OFFSET('Smelter Reference List'!$D$4,$S2382-4,0)&amp;"")</f>
        <v/>
      </c>
      <c r="F2382" s="168" t="str">
        <f ca="1">IF(ISERROR($S2382),"",OFFSET('Smelter Reference List'!$E$4,$S2382-4,0))</f>
        <v/>
      </c>
      <c r="G2382" s="168" t="str">
        <f ca="1">IF(C2382=$U$4,"Enter smelter details", IF(ISERROR($S2382),"",OFFSET('Smelter Reference List'!$F$4,$S2382-4,0)))</f>
        <v/>
      </c>
      <c r="H2382" s="292" t="str">
        <f ca="1">IF(ISERROR($S2382),"",OFFSET('Smelter Reference List'!$G$4,$S2382-4,0))</f>
        <v/>
      </c>
      <c r="I2382" s="293" t="str">
        <f ca="1">IF(ISERROR($S2382),"",OFFSET('Smelter Reference List'!$H$4,$S2382-4,0))</f>
        <v/>
      </c>
      <c r="J2382" s="293" t="str">
        <f ca="1">IF(ISERROR($S2382),"",OFFSET('Smelter Reference List'!$I$4,$S2382-4,0))</f>
        <v/>
      </c>
      <c r="K2382" s="290"/>
      <c r="L2382" s="290"/>
      <c r="M2382" s="290"/>
      <c r="N2382" s="290"/>
      <c r="O2382" s="290"/>
      <c r="P2382" s="290"/>
      <c r="Q2382" s="291"/>
      <c r="R2382" s="276"/>
      <c r="S2382" s="277" t="e">
        <f>IF(OR(C2382="",C2382=T$4),NA(),MATCH($B2382&amp;$C2382,'Smelter Reference List'!$J:$J,0))</f>
        <v>#N/A</v>
      </c>
      <c r="T2382" s="278"/>
      <c r="U2382" s="278"/>
      <c r="V2382" s="278"/>
      <c r="W2382" s="278"/>
    </row>
    <row r="2383" spans="1:23" s="269" customFormat="1" ht="20.25">
      <c r="A2383" s="267"/>
      <c r="B2383" s="275"/>
      <c r="C2383" s="275"/>
      <c r="D2383" s="168" t="str">
        <f ca="1">IF(ISERROR($S2383),"",OFFSET('Smelter Reference List'!$C$4,$S2383-4,0)&amp;"")</f>
        <v/>
      </c>
      <c r="E2383" s="168" t="str">
        <f ca="1">IF(ISERROR($S2383),"",OFFSET('Smelter Reference List'!$D$4,$S2383-4,0)&amp;"")</f>
        <v/>
      </c>
      <c r="F2383" s="168" t="str">
        <f ca="1">IF(ISERROR($S2383),"",OFFSET('Smelter Reference List'!$E$4,$S2383-4,0))</f>
        <v/>
      </c>
      <c r="G2383" s="168" t="str">
        <f ca="1">IF(C2383=$U$4,"Enter smelter details", IF(ISERROR($S2383),"",OFFSET('Smelter Reference List'!$F$4,$S2383-4,0)))</f>
        <v/>
      </c>
      <c r="H2383" s="292" t="str">
        <f ca="1">IF(ISERROR($S2383),"",OFFSET('Smelter Reference List'!$G$4,$S2383-4,0))</f>
        <v/>
      </c>
      <c r="I2383" s="293" t="str">
        <f ca="1">IF(ISERROR($S2383),"",OFFSET('Smelter Reference List'!$H$4,$S2383-4,0))</f>
        <v/>
      </c>
      <c r="J2383" s="293" t="str">
        <f ca="1">IF(ISERROR($S2383),"",OFFSET('Smelter Reference List'!$I$4,$S2383-4,0))</f>
        <v/>
      </c>
      <c r="K2383" s="290"/>
      <c r="L2383" s="290"/>
      <c r="M2383" s="290"/>
      <c r="N2383" s="290"/>
      <c r="O2383" s="290"/>
      <c r="P2383" s="290"/>
      <c r="Q2383" s="291"/>
      <c r="R2383" s="276"/>
      <c r="S2383" s="277" t="e">
        <f>IF(OR(C2383="",C2383=T$4),NA(),MATCH($B2383&amp;$C2383,'Smelter Reference List'!$J:$J,0))</f>
        <v>#N/A</v>
      </c>
      <c r="T2383" s="278"/>
      <c r="U2383" s="278"/>
      <c r="V2383" s="278"/>
      <c r="W2383" s="278"/>
    </row>
    <row r="2384" spans="1:23" s="269" customFormat="1" ht="20.25">
      <c r="A2384" s="267"/>
      <c r="B2384" s="275"/>
      <c r="C2384" s="275"/>
      <c r="D2384" s="168" t="str">
        <f ca="1">IF(ISERROR($S2384),"",OFFSET('Smelter Reference List'!$C$4,$S2384-4,0)&amp;"")</f>
        <v/>
      </c>
      <c r="E2384" s="168" t="str">
        <f ca="1">IF(ISERROR($S2384),"",OFFSET('Smelter Reference List'!$D$4,$S2384-4,0)&amp;"")</f>
        <v/>
      </c>
      <c r="F2384" s="168" t="str">
        <f ca="1">IF(ISERROR($S2384),"",OFFSET('Smelter Reference List'!$E$4,$S2384-4,0))</f>
        <v/>
      </c>
      <c r="G2384" s="168" t="str">
        <f ca="1">IF(C2384=$U$4,"Enter smelter details", IF(ISERROR($S2384),"",OFFSET('Smelter Reference List'!$F$4,$S2384-4,0)))</f>
        <v/>
      </c>
      <c r="H2384" s="292" t="str">
        <f ca="1">IF(ISERROR($S2384),"",OFFSET('Smelter Reference List'!$G$4,$S2384-4,0))</f>
        <v/>
      </c>
      <c r="I2384" s="293" t="str">
        <f ca="1">IF(ISERROR($S2384),"",OFFSET('Smelter Reference List'!$H$4,$S2384-4,0))</f>
        <v/>
      </c>
      <c r="J2384" s="293" t="str">
        <f ca="1">IF(ISERROR($S2384),"",OFFSET('Smelter Reference List'!$I$4,$S2384-4,0))</f>
        <v/>
      </c>
      <c r="K2384" s="290"/>
      <c r="L2384" s="290"/>
      <c r="M2384" s="290"/>
      <c r="N2384" s="290"/>
      <c r="O2384" s="290"/>
      <c r="P2384" s="290"/>
      <c r="Q2384" s="291"/>
      <c r="R2384" s="276"/>
      <c r="S2384" s="277" t="e">
        <f>IF(OR(C2384="",C2384=T$4),NA(),MATCH($B2384&amp;$C2384,'Smelter Reference List'!$J:$J,0))</f>
        <v>#N/A</v>
      </c>
      <c r="T2384" s="278"/>
      <c r="U2384" s="278"/>
      <c r="V2384" s="278"/>
      <c r="W2384" s="278"/>
    </row>
    <row r="2385" spans="1:23" s="269" customFormat="1" ht="20.25">
      <c r="A2385" s="267"/>
      <c r="B2385" s="275"/>
      <c r="C2385" s="275"/>
      <c r="D2385" s="168" t="str">
        <f ca="1">IF(ISERROR($S2385),"",OFFSET('Smelter Reference List'!$C$4,$S2385-4,0)&amp;"")</f>
        <v/>
      </c>
      <c r="E2385" s="168" t="str">
        <f ca="1">IF(ISERROR($S2385),"",OFFSET('Smelter Reference List'!$D$4,$S2385-4,0)&amp;"")</f>
        <v/>
      </c>
      <c r="F2385" s="168" t="str">
        <f ca="1">IF(ISERROR($S2385),"",OFFSET('Smelter Reference List'!$E$4,$S2385-4,0))</f>
        <v/>
      </c>
      <c r="G2385" s="168" t="str">
        <f ca="1">IF(C2385=$U$4,"Enter smelter details", IF(ISERROR($S2385),"",OFFSET('Smelter Reference List'!$F$4,$S2385-4,0)))</f>
        <v/>
      </c>
      <c r="H2385" s="292" t="str">
        <f ca="1">IF(ISERROR($S2385),"",OFFSET('Smelter Reference List'!$G$4,$S2385-4,0))</f>
        <v/>
      </c>
      <c r="I2385" s="293" t="str">
        <f ca="1">IF(ISERROR($S2385),"",OFFSET('Smelter Reference List'!$H$4,$S2385-4,0))</f>
        <v/>
      </c>
      <c r="J2385" s="293" t="str">
        <f ca="1">IF(ISERROR($S2385),"",OFFSET('Smelter Reference List'!$I$4,$S2385-4,0))</f>
        <v/>
      </c>
      <c r="K2385" s="290"/>
      <c r="L2385" s="290"/>
      <c r="M2385" s="290"/>
      <c r="N2385" s="290"/>
      <c r="O2385" s="290"/>
      <c r="P2385" s="290"/>
      <c r="Q2385" s="291"/>
      <c r="R2385" s="276"/>
      <c r="S2385" s="277" t="e">
        <f>IF(OR(C2385="",C2385=T$4),NA(),MATCH($B2385&amp;$C2385,'Smelter Reference List'!$J:$J,0))</f>
        <v>#N/A</v>
      </c>
      <c r="T2385" s="278"/>
      <c r="U2385" s="278"/>
      <c r="V2385" s="278"/>
      <c r="W2385" s="278"/>
    </row>
    <row r="2386" spans="1:23" s="269" customFormat="1" ht="20.25">
      <c r="A2386" s="267"/>
      <c r="B2386" s="275"/>
      <c r="C2386" s="275"/>
      <c r="D2386" s="168" t="str">
        <f ca="1">IF(ISERROR($S2386),"",OFFSET('Smelter Reference List'!$C$4,$S2386-4,0)&amp;"")</f>
        <v/>
      </c>
      <c r="E2386" s="168" t="str">
        <f ca="1">IF(ISERROR($S2386),"",OFFSET('Smelter Reference List'!$D$4,$S2386-4,0)&amp;"")</f>
        <v/>
      </c>
      <c r="F2386" s="168" t="str">
        <f ca="1">IF(ISERROR($S2386),"",OFFSET('Smelter Reference List'!$E$4,$S2386-4,0))</f>
        <v/>
      </c>
      <c r="G2386" s="168" t="str">
        <f ca="1">IF(C2386=$U$4,"Enter smelter details", IF(ISERROR($S2386),"",OFFSET('Smelter Reference List'!$F$4,$S2386-4,0)))</f>
        <v/>
      </c>
      <c r="H2386" s="292" t="str">
        <f ca="1">IF(ISERROR($S2386),"",OFFSET('Smelter Reference List'!$G$4,$S2386-4,0))</f>
        <v/>
      </c>
      <c r="I2386" s="293" t="str">
        <f ca="1">IF(ISERROR($S2386),"",OFFSET('Smelter Reference List'!$H$4,$S2386-4,0))</f>
        <v/>
      </c>
      <c r="J2386" s="293" t="str">
        <f ca="1">IF(ISERROR($S2386),"",OFFSET('Smelter Reference List'!$I$4,$S2386-4,0))</f>
        <v/>
      </c>
      <c r="K2386" s="290"/>
      <c r="L2386" s="290"/>
      <c r="M2386" s="290"/>
      <c r="N2386" s="290"/>
      <c r="O2386" s="290"/>
      <c r="P2386" s="290"/>
      <c r="Q2386" s="291"/>
      <c r="R2386" s="276"/>
      <c r="S2386" s="277" t="e">
        <f>IF(OR(C2386="",C2386=T$4),NA(),MATCH($B2386&amp;$C2386,'Smelter Reference List'!$J:$J,0))</f>
        <v>#N/A</v>
      </c>
      <c r="T2386" s="278"/>
      <c r="U2386" s="278"/>
      <c r="V2386" s="278"/>
      <c r="W2386" s="278"/>
    </row>
    <row r="2387" spans="1:23" s="269" customFormat="1" ht="20.25">
      <c r="A2387" s="267"/>
      <c r="B2387" s="275"/>
      <c r="C2387" s="275"/>
      <c r="D2387" s="168" t="str">
        <f ca="1">IF(ISERROR($S2387),"",OFFSET('Smelter Reference List'!$C$4,$S2387-4,0)&amp;"")</f>
        <v/>
      </c>
      <c r="E2387" s="168" t="str">
        <f ca="1">IF(ISERROR($S2387),"",OFFSET('Smelter Reference List'!$D$4,$S2387-4,0)&amp;"")</f>
        <v/>
      </c>
      <c r="F2387" s="168" t="str">
        <f ca="1">IF(ISERROR($S2387),"",OFFSET('Smelter Reference List'!$E$4,$S2387-4,0))</f>
        <v/>
      </c>
      <c r="G2387" s="168" t="str">
        <f ca="1">IF(C2387=$U$4,"Enter smelter details", IF(ISERROR($S2387),"",OFFSET('Smelter Reference List'!$F$4,$S2387-4,0)))</f>
        <v/>
      </c>
      <c r="H2387" s="292" t="str">
        <f ca="1">IF(ISERROR($S2387),"",OFFSET('Smelter Reference List'!$G$4,$S2387-4,0))</f>
        <v/>
      </c>
      <c r="I2387" s="293" t="str">
        <f ca="1">IF(ISERROR($S2387),"",OFFSET('Smelter Reference List'!$H$4,$S2387-4,0))</f>
        <v/>
      </c>
      <c r="J2387" s="293" t="str">
        <f ca="1">IF(ISERROR($S2387),"",OFFSET('Smelter Reference List'!$I$4,$S2387-4,0))</f>
        <v/>
      </c>
      <c r="K2387" s="290"/>
      <c r="L2387" s="290"/>
      <c r="M2387" s="290"/>
      <c r="N2387" s="290"/>
      <c r="O2387" s="290"/>
      <c r="P2387" s="290"/>
      <c r="Q2387" s="291"/>
      <c r="R2387" s="276"/>
      <c r="S2387" s="277" t="e">
        <f>IF(OR(C2387="",C2387=T$4),NA(),MATCH($B2387&amp;$C2387,'Smelter Reference List'!$J:$J,0))</f>
        <v>#N/A</v>
      </c>
      <c r="T2387" s="278"/>
      <c r="U2387" s="278"/>
      <c r="V2387" s="278"/>
      <c r="W2387" s="278"/>
    </row>
    <row r="2388" spans="1:23" s="269" customFormat="1" ht="20.25">
      <c r="A2388" s="267"/>
      <c r="B2388" s="275"/>
      <c r="C2388" s="275"/>
      <c r="D2388" s="168" t="str">
        <f ca="1">IF(ISERROR($S2388),"",OFFSET('Smelter Reference List'!$C$4,$S2388-4,0)&amp;"")</f>
        <v/>
      </c>
      <c r="E2388" s="168" t="str">
        <f ca="1">IF(ISERROR($S2388),"",OFFSET('Smelter Reference List'!$D$4,$S2388-4,0)&amp;"")</f>
        <v/>
      </c>
      <c r="F2388" s="168" t="str">
        <f ca="1">IF(ISERROR($S2388),"",OFFSET('Smelter Reference List'!$E$4,$S2388-4,0))</f>
        <v/>
      </c>
      <c r="G2388" s="168" t="str">
        <f ca="1">IF(C2388=$U$4,"Enter smelter details", IF(ISERROR($S2388),"",OFFSET('Smelter Reference List'!$F$4,$S2388-4,0)))</f>
        <v/>
      </c>
      <c r="H2388" s="292" t="str">
        <f ca="1">IF(ISERROR($S2388),"",OFFSET('Smelter Reference List'!$G$4,$S2388-4,0))</f>
        <v/>
      </c>
      <c r="I2388" s="293" t="str">
        <f ca="1">IF(ISERROR($S2388),"",OFFSET('Smelter Reference List'!$H$4,$S2388-4,0))</f>
        <v/>
      </c>
      <c r="J2388" s="293" t="str">
        <f ca="1">IF(ISERROR($S2388),"",OFFSET('Smelter Reference List'!$I$4,$S2388-4,0))</f>
        <v/>
      </c>
      <c r="K2388" s="290"/>
      <c r="L2388" s="290"/>
      <c r="M2388" s="290"/>
      <c r="N2388" s="290"/>
      <c r="O2388" s="290"/>
      <c r="P2388" s="290"/>
      <c r="Q2388" s="291"/>
      <c r="R2388" s="276"/>
      <c r="S2388" s="277" t="e">
        <f>IF(OR(C2388="",C2388=T$4),NA(),MATCH($B2388&amp;$C2388,'Smelter Reference List'!$J:$J,0))</f>
        <v>#N/A</v>
      </c>
      <c r="T2388" s="278"/>
      <c r="U2388" s="278"/>
      <c r="V2388" s="278"/>
      <c r="W2388" s="278"/>
    </row>
    <row r="2389" spans="1:23" s="269" customFormat="1" ht="20.25">
      <c r="A2389" s="267"/>
      <c r="B2389" s="275"/>
      <c r="C2389" s="275"/>
      <c r="D2389" s="168" t="str">
        <f ca="1">IF(ISERROR($S2389),"",OFFSET('Smelter Reference List'!$C$4,$S2389-4,0)&amp;"")</f>
        <v/>
      </c>
      <c r="E2389" s="168" t="str">
        <f ca="1">IF(ISERROR($S2389),"",OFFSET('Smelter Reference List'!$D$4,$S2389-4,0)&amp;"")</f>
        <v/>
      </c>
      <c r="F2389" s="168" t="str">
        <f ca="1">IF(ISERROR($S2389),"",OFFSET('Smelter Reference List'!$E$4,$S2389-4,0))</f>
        <v/>
      </c>
      <c r="G2389" s="168" t="str">
        <f ca="1">IF(C2389=$U$4,"Enter smelter details", IF(ISERROR($S2389),"",OFFSET('Smelter Reference List'!$F$4,$S2389-4,0)))</f>
        <v/>
      </c>
      <c r="H2389" s="292" t="str">
        <f ca="1">IF(ISERROR($S2389),"",OFFSET('Smelter Reference List'!$G$4,$S2389-4,0))</f>
        <v/>
      </c>
      <c r="I2389" s="293" t="str">
        <f ca="1">IF(ISERROR($S2389),"",OFFSET('Smelter Reference List'!$H$4,$S2389-4,0))</f>
        <v/>
      </c>
      <c r="J2389" s="293" t="str">
        <f ca="1">IF(ISERROR($S2389),"",OFFSET('Smelter Reference List'!$I$4,$S2389-4,0))</f>
        <v/>
      </c>
      <c r="K2389" s="290"/>
      <c r="L2389" s="290"/>
      <c r="M2389" s="290"/>
      <c r="N2389" s="290"/>
      <c r="O2389" s="290"/>
      <c r="P2389" s="290"/>
      <c r="Q2389" s="291"/>
      <c r="R2389" s="276"/>
      <c r="S2389" s="277" t="e">
        <f>IF(OR(C2389="",C2389=T$4),NA(),MATCH($B2389&amp;$C2389,'Smelter Reference List'!$J:$J,0))</f>
        <v>#N/A</v>
      </c>
      <c r="T2389" s="278"/>
      <c r="U2389" s="278"/>
      <c r="V2389" s="278"/>
      <c r="W2389" s="278"/>
    </row>
    <row r="2390" spans="1:23" s="269" customFormat="1" ht="20.25">
      <c r="A2390" s="267"/>
      <c r="B2390" s="275"/>
      <c r="C2390" s="275"/>
      <c r="D2390" s="168" t="str">
        <f ca="1">IF(ISERROR($S2390),"",OFFSET('Smelter Reference List'!$C$4,$S2390-4,0)&amp;"")</f>
        <v/>
      </c>
      <c r="E2390" s="168" t="str">
        <f ca="1">IF(ISERROR($S2390),"",OFFSET('Smelter Reference List'!$D$4,$S2390-4,0)&amp;"")</f>
        <v/>
      </c>
      <c r="F2390" s="168" t="str">
        <f ca="1">IF(ISERROR($S2390),"",OFFSET('Smelter Reference List'!$E$4,$S2390-4,0))</f>
        <v/>
      </c>
      <c r="G2390" s="168" t="str">
        <f ca="1">IF(C2390=$U$4,"Enter smelter details", IF(ISERROR($S2390),"",OFFSET('Smelter Reference List'!$F$4,$S2390-4,0)))</f>
        <v/>
      </c>
      <c r="H2390" s="292" t="str">
        <f ca="1">IF(ISERROR($S2390),"",OFFSET('Smelter Reference List'!$G$4,$S2390-4,0))</f>
        <v/>
      </c>
      <c r="I2390" s="293" t="str">
        <f ca="1">IF(ISERROR($S2390),"",OFFSET('Smelter Reference List'!$H$4,$S2390-4,0))</f>
        <v/>
      </c>
      <c r="J2390" s="293" t="str">
        <f ca="1">IF(ISERROR($S2390),"",OFFSET('Smelter Reference List'!$I$4,$S2390-4,0))</f>
        <v/>
      </c>
      <c r="K2390" s="290"/>
      <c r="L2390" s="290"/>
      <c r="M2390" s="290"/>
      <c r="N2390" s="290"/>
      <c r="O2390" s="290"/>
      <c r="P2390" s="290"/>
      <c r="Q2390" s="291"/>
      <c r="R2390" s="276"/>
      <c r="S2390" s="277" t="e">
        <f>IF(OR(C2390="",C2390=T$4),NA(),MATCH($B2390&amp;$C2390,'Smelter Reference List'!$J:$J,0))</f>
        <v>#N/A</v>
      </c>
      <c r="T2390" s="278"/>
      <c r="U2390" s="278"/>
      <c r="V2390" s="278"/>
      <c r="W2390" s="278"/>
    </row>
    <row r="2391" spans="1:23" s="269" customFormat="1" ht="20.25">
      <c r="A2391" s="267"/>
      <c r="B2391" s="275"/>
      <c r="C2391" s="275"/>
      <c r="D2391" s="168" t="str">
        <f ca="1">IF(ISERROR($S2391),"",OFFSET('Smelter Reference List'!$C$4,$S2391-4,0)&amp;"")</f>
        <v/>
      </c>
      <c r="E2391" s="168" t="str">
        <f ca="1">IF(ISERROR($S2391),"",OFFSET('Smelter Reference List'!$D$4,$S2391-4,0)&amp;"")</f>
        <v/>
      </c>
      <c r="F2391" s="168" t="str">
        <f ca="1">IF(ISERROR($S2391),"",OFFSET('Smelter Reference List'!$E$4,$S2391-4,0))</f>
        <v/>
      </c>
      <c r="G2391" s="168" t="str">
        <f ca="1">IF(C2391=$U$4,"Enter smelter details", IF(ISERROR($S2391),"",OFFSET('Smelter Reference List'!$F$4,$S2391-4,0)))</f>
        <v/>
      </c>
      <c r="H2391" s="292" t="str">
        <f ca="1">IF(ISERROR($S2391),"",OFFSET('Smelter Reference List'!$G$4,$S2391-4,0))</f>
        <v/>
      </c>
      <c r="I2391" s="293" t="str">
        <f ca="1">IF(ISERROR($S2391),"",OFFSET('Smelter Reference List'!$H$4,$S2391-4,0))</f>
        <v/>
      </c>
      <c r="J2391" s="293" t="str">
        <f ca="1">IF(ISERROR($S2391),"",OFFSET('Smelter Reference List'!$I$4,$S2391-4,0))</f>
        <v/>
      </c>
      <c r="K2391" s="290"/>
      <c r="L2391" s="290"/>
      <c r="M2391" s="290"/>
      <c r="N2391" s="290"/>
      <c r="O2391" s="290"/>
      <c r="P2391" s="290"/>
      <c r="Q2391" s="291"/>
      <c r="R2391" s="276"/>
      <c r="S2391" s="277" t="e">
        <f>IF(OR(C2391="",C2391=T$4),NA(),MATCH($B2391&amp;$C2391,'Smelter Reference List'!$J:$J,0))</f>
        <v>#N/A</v>
      </c>
      <c r="T2391" s="278"/>
      <c r="U2391" s="278"/>
      <c r="V2391" s="278"/>
      <c r="W2391" s="278"/>
    </row>
    <row r="2392" spans="1:23" s="269" customFormat="1" ht="20.25">
      <c r="A2392" s="267"/>
      <c r="B2392" s="275"/>
      <c r="C2392" s="275"/>
      <c r="D2392" s="168" t="str">
        <f ca="1">IF(ISERROR($S2392),"",OFFSET('Smelter Reference List'!$C$4,$S2392-4,0)&amp;"")</f>
        <v/>
      </c>
      <c r="E2392" s="168" t="str">
        <f ca="1">IF(ISERROR($S2392),"",OFFSET('Smelter Reference List'!$D$4,$S2392-4,0)&amp;"")</f>
        <v/>
      </c>
      <c r="F2392" s="168" t="str">
        <f ca="1">IF(ISERROR($S2392),"",OFFSET('Smelter Reference List'!$E$4,$S2392-4,0))</f>
        <v/>
      </c>
      <c r="G2392" s="168" t="str">
        <f ca="1">IF(C2392=$U$4,"Enter smelter details", IF(ISERROR($S2392),"",OFFSET('Smelter Reference List'!$F$4,$S2392-4,0)))</f>
        <v/>
      </c>
      <c r="H2392" s="292" t="str">
        <f ca="1">IF(ISERROR($S2392),"",OFFSET('Smelter Reference List'!$G$4,$S2392-4,0))</f>
        <v/>
      </c>
      <c r="I2392" s="293" t="str">
        <f ca="1">IF(ISERROR($S2392),"",OFFSET('Smelter Reference List'!$H$4,$S2392-4,0))</f>
        <v/>
      </c>
      <c r="J2392" s="293" t="str">
        <f ca="1">IF(ISERROR($S2392),"",OFFSET('Smelter Reference List'!$I$4,$S2392-4,0))</f>
        <v/>
      </c>
      <c r="K2392" s="290"/>
      <c r="L2392" s="290"/>
      <c r="M2392" s="290"/>
      <c r="N2392" s="290"/>
      <c r="O2392" s="290"/>
      <c r="P2392" s="290"/>
      <c r="Q2392" s="291"/>
      <c r="R2392" s="276"/>
      <c r="S2392" s="277" t="e">
        <f>IF(OR(C2392="",C2392=T$4),NA(),MATCH($B2392&amp;$C2392,'Smelter Reference List'!$J:$J,0))</f>
        <v>#N/A</v>
      </c>
      <c r="T2392" s="278"/>
      <c r="U2392" s="278"/>
      <c r="V2392" s="278"/>
      <c r="W2392" s="278"/>
    </row>
    <row r="2393" spans="1:23" s="269" customFormat="1" ht="20.25">
      <c r="A2393" s="267"/>
      <c r="B2393" s="275"/>
      <c r="C2393" s="275"/>
      <c r="D2393" s="168" t="str">
        <f ca="1">IF(ISERROR($S2393),"",OFFSET('Smelter Reference List'!$C$4,$S2393-4,0)&amp;"")</f>
        <v/>
      </c>
      <c r="E2393" s="168" t="str">
        <f ca="1">IF(ISERROR($S2393),"",OFFSET('Smelter Reference List'!$D$4,$S2393-4,0)&amp;"")</f>
        <v/>
      </c>
      <c r="F2393" s="168" t="str">
        <f ca="1">IF(ISERROR($S2393),"",OFFSET('Smelter Reference List'!$E$4,$S2393-4,0))</f>
        <v/>
      </c>
      <c r="G2393" s="168" t="str">
        <f ca="1">IF(C2393=$U$4,"Enter smelter details", IF(ISERROR($S2393),"",OFFSET('Smelter Reference List'!$F$4,$S2393-4,0)))</f>
        <v/>
      </c>
      <c r="H2393" s="292" t="str">
        <f ca="1">IF(ISERROR($S2393),"",OFFSET('Smelter Reference List'!$G$4,$S2393-4,0))</f>
        <v/>
      </c>
      <c r="I2393" s="293" t="str">
        <f ca="1">IF(ISERROR($S2393),"",OFFSET('Smelter Reference List'!$H$4,$S2393-4,0))</f>
        <v/>
      </c>
      <c r="J2393" s="293" t="str">
        <f ca="1">IF(ISERROR($S2393),"",OFFSET('Smelter Reference List'!$I$4,$S2393-4,0))</f>
        <v/>
      </c>
      <c r="K2393" s="290"/>
      <c r="L2393" s="290"/>
      <c r="M2393" s="290"/>
      <c r="N2393" s="290"/>
      <c r="O2393" s="290"/>
      <c r="P2393" s="290"/>
      <c r="Q2393" s="291"/>
      <c r="R2393" s="276"/>
      <c r="S2393" s="277" t="e">
        <f>IF(OR(C2393="",C2393=T$4),NA(),MATCH($B2393&amp;$C2393,'Smelter Reference List'!$J:$J,0))</f>
        <v>#N/A</v>
      </c>
      <c r="T2393" s="278"/>
      <c r="U2393" s="278"/>
      <c r="V2393" s="278"/>
      <c r="W2393" s="278"/>
    </row>
    <row r="2394" spans="1:23" s="269" customFormat="1" ht="20.25">
      <c r="A2394" s="267"/>
      <c r="B2394" s="275"/>
      <c r="C2394" s="275"/>
      <c r="D2394" s="168" t="str">
        <f ca="1">IF(ISERROR($S2394),"",OFFSET('Smelter Reference List'!$C$4,$S2394-4,0)&amp;"")</f>
        <v/>
      </c>
      <c r="E2394" s="168" t="str">
        <f ca="1">IF(ISERROR($S2394),"",OFFSET('Smelter Reference List'!$D$4,$S2394-4,0)&amp;"")</f>
        <v/>
      </c>
      <c r="F2394" s="168" t="str">
        <f ca="1">IF(ISERROR($S2394),"",OFFSET('Smelter Reference List'!$E$4,$S2394-4,0))</f>
        <v/>
      </c>
      <c r="G2394" s="168" t="str">
        <f ca="1">IF(C2394=$U$4,"Enter smelter details", IF(ISERROR($S2394),"",OFFSET('Smelter Reference List'!$F$4,$S2394-4,0)))</f>
        <v/>
      </c>
      <c r="H2394" s="292" t="str">
        <f ca="1">IF(ISERROR($S2394),"",OFFSET('Smelter Reference List'!$G$4,$S2394-4,0))</f>
        <v/>
      </c>
      <c r="I2394" s="293" t="str">
        <f ca="1">IF(ISERROR($S2394),"",OFFSET('Smelter Reference List'!$H$4,$S2394-4,0))</f>
        <v/>
      </c>
      <c r="J2394" s="293" t="str">
        <f ca="1">IF(ISERROR($S2394),"",OFFSET('Smelter Reference List'!$I$4,$S2394-4,0))</f>
        <v/>
      </c>
      <c r="K2394" s="290"/>
      <c r="L2394" s="290"/>
      <c r="M2394" s="290"/>
      <c r="N2394" s="290"/>
      <c r="O2394" s="290"/>
      <c r="P2394" s="290"/>
      <c r="Q2394" s="291"/>
      <c r="R2394" s="276"/>
      <c r="S2394" s="277" t="e">
        <f>IF(OR(C2394="",C2394=T$4),NA(),MATCH($B2394&amp;$C2394,'Smelter Reference List'!$J:$J,0))</f>
        <v>#N/A</v>
      </c>
      <c r="T2394" s="278"/>
      <c r="U2394" s="278"/>
      <c r="V2394" s="278"/>
      <c r="W2394" s="278"/>
    </row>
    <row r="2395" spans="1:23" s="269" customFormat="1" ht="20.25">
      <c r="A2395" s="267"/>
      <c r="B2395" s="275"/>
      <c r="C2395" s="275"/>
      <c r="D2395" s="168" t="str">
        <f ca="1">IF(ISERROR($S2395),"",OFFSET('Smelter Reference List'!$C$4,$S2395-4,0)&amp;"")</f>
        <v/>
      </c>
      <c r="E2395" s="168" t="str">
        <f ca="1">IF(ISERROR($S2395),"",OFFSET('Smelter Reference List'!$D$4,$S2395-4,0)&amp;"")</f>
        <v/>
      </c>
      <c r="F2395" s="168" t="str">
        <f ca="1">IF(ISERROR($S2395),"",OFFSET('Smelter Reference List'!$E$4,$S2395-4,0))</f>
        <v/>
      </c>
      <c r="G2395" s="168" t="str">
        <f ca="1">IF(C2395=$U$4,"Enter smelter details", IF(ISERROR($S2395),"",OFFSET('Smelter Reference List'!$F$4,$S2395-4,0)))</f>
        <v/>
      </c>
      <c r="H2395" s="292" t="str">
        <f ca="1">IF(ISERROR($S2395),"",OFFSET('Smelter Reference List'!$G$4,$S2395-4,0))</f>
        <v/>
      </c>
      <c r="I2395" s="293" t="str">
        <f ca="1">IF(ISERROR($S2395),"",OFFSET('Smelter Reference List'!$H$4,$S2395-4,0))</f>
        <v/>
      </c>
      <c r="J2395" s="293" t="str">
        <f ca="1">IF(ISERROR($S2395),"",OFFSET('Smelter Reference List'!$I$4,$S2395-4,0))</f>
        <v/>
      </c>
      <c r="K2395" s="290"/>
      <c r="L2395" s="290"/>
      <c r="M2395" s="290"/>
      <c r="N2395" s="290"/>
      <c r="O2395" s="290"/>
      <c r="P2395" s="290"/>
      <c r="Q2395" s="291"/>
      <c r="R2395" s="276"/>
      <c r="S2395" s="277" t="e">
        <f>IF(OR(C2395="",C2395=T$4),NA(),MATCH($B2395&amp;$C2395,'Smelter Reference List'!$J:$J,0))</f>
        <v>#N/A</v>
      </c>
      <c r="T2395" s="278"/>
      <c r="U2395" s="278"/>
      <c r="V2395" s="278"/>
      <c r="W2395" s="278"/>
    </row>
    <row r="2396" spans="1:23" s="269" customFormat="1" ht="20.25">
      <c r="A2396" s="267"/>
      <c r="B2396" s="275"/>
      <c r="C2396" s="275"/>
      <c r="D2396" s="168" t="str">
        <f ca="1">IF(ISERROR($S2396),"",OFFSET('Smelter Reference List'!$C$4,$S2396-4,0)&amp;"")</f>
        <v/>
      </c>
      <c r="E2396" s="168" t="str">
        <f ca="1">IF(ISERROR($S2396),"",OFFSET('Smelter Reference List'!$D$4,$S2396-4,0)&amp;"")</f>
        <v/>
      </c>
      <c r="F2396" s="168" t="str">
        <f ca="1">IF(ISERROR($S2396),"",OFFSET('Smelter Reference List'!$E$4,$S2396-4,0))</f>
        <v/>
      </c>
      <c r="G2396" s="168" t="str">
        <f ca="1">IF(C2396=$U$4,"Enter smelter details", IF(ISERROR($S2396),"",OFFSET('Smelter Reference List'!$F$4,$S2396-4,0)))</f>
        <v/>
      </c>
      <c r="H2396" s="292" t="str">
        <f ca="1">IF(ISERROR($S2396),"",OFFSET('Smelter Reference List'!$G$4,$S2396-4,0))</f>
        <v/>
      </c>
      <c r="I2396" s="293" t="str">
        <f ca="1">IF(ISERROR($S2396),"",OFFSET('Smelter Reference List'!$H$4,$S2396-4,0))</f>
        <v/>
      </c>
      <c r="J2396" s="293" t="str">
        <f ca="1">IF(ISERROR($S2396),"",OFFSET('Smelter Reference List'!$I$4,$S2396-4,0))</f>
        <v/>
      </c>
      <c r="K2396" s="290"/>
      <c r="L2396" s="290"/>
      <c r="M2396" s="290"/>
      <c r="N2396" s="290"/>
      <c r="O2396" s="290"/>
      <c r="P2396" s="290"/>
      <c r="Q2396" s="291"/>
      <c r="R2396" s="276"/>
      <c r="S2396" s="277" t="e">
        <f>IF(OR(C2396="",C2396=T$4),NA(),MATCH($B2396&amp;$C2396,'Smelter Reference List'!$J:$J,0))</f>
        <v>#N/A</v>
      </c>
      <c r="T2396" s="278"/>
      <c r="U2396" s="278"/>
      <c r="V2396" s="278"/>
      <c r="W2396" s="278"/>
    </row>
    <row r="2397" spans="1:23" s="269" customFormat="1" ht="20.25">
      <c r="A2397" s="267"/>
      <c r="B2397" s="275"/>
      <c r="C2397" s="275"/>
      <c r="D2397" s="168" t="str">
        <f ca="1">IF(ISERROR($S2397),"",OFFSET('Smelter Reference List'!$C$4,$S2397-4,0)&amp;"")</f>
        <v/>
      </c>
      <c r="E2397" s="168" t="str">
        <f ca="1">IF(ISERROR($S2397),"",OFFSET('Smelter Reference List'!$D$4,$S2397-4,0)&amp;"")</f>
        <v/>
      </c>
      <c r="F2397" s="168" t="str">
        <f ca="1">IF(ISERROR($S2397),"",OFFSET('Smelter Reference List'!$E$4,$S2397-4,0))</f>
        <v/>
      </c>
      <c r="G2397" s="168" t="str">
        <f ca="1">IF(C2397=$U$4,"Enter smelter details", IF(ISERROR($S2397),"",OFFSET('Smelter Reference List'!$F$4,$S2397-4,0)))</f>
        <v/>
      </c>
      <c r="H2397" s="292" t="str">
        <f ca="1">IF(ISERROR($S2397),"",OFFSET('Smelter Reference List'!$G$4,$S2397-4,0))</f>
        <v/>
      </c>
      <c r="I2397" s="293" t="str">
        <f ca="1">IF(ISERROR($S2397),"",OFFSET('Smelter Reference List'!$H$4,$S2397-4,0))</f>
        <v/>
      </c>
      <c r="J2397" s="293" t="str">
        <f ca="1">IF(ISERROR($S2397),"",OFFSET('Smelter Reference List'!$I$4,$S2397-4,0))</f>
        <v/>
      </c>
      <c r="K2397" s="290"/>
      <c r="L2397" s="290"/>
      <c r="M2397" s="290"/>
      <c r="N2397" s="290"/>
      <c r="O2397" s="290"/>
      <c r="P2397" s="290"/>
      <c r="Q2397" s="291"/>
      <c r="R2397" s="276"/>
      <c r="S2397" s="277" t="e">
        <f>IF(OR(C2397="",C2397=T$4),NA(),MATCH($B2397&amp;$C2397,'Smelter Reference List'!$J:$J,0))</f>
        <v>#N/A</v>
      </c>
      <c r="T2397" s="278"/>
      <c r="U2397" s="278"/>
      <c r="V2397" s="278"/>
      <c r="W2397" s="278"/>
    </row>
    <row r="2398" spans="1:23" s="269" customFormat="1" ht="20.25">
      <c r="A2398" s="267"/>
      <c r="B2398" s="275"/>
      <c r="C2398" s="275"/>
      <c r="D2398" s="168" t="str">
        <f ca="1">IF(ISERROR($S2398),"",OFFSET('Smelter Reference List'!$C$4,$S2398-4,0)&amp;"")</f>
        <v/>
      </c>
      <c r="E2398" s="168" t="str">
        <f ca="1">IF(ISERROR($S2398),"",OFFSET('Smelter Reference List'!$D$4,$S2398-4,0)&amp;"")</f>
        <v/>
      </c>
      <c r="F2398" s="168" t="str">
        <f ca="1">IF(ISERROR($S2398),"",OFFSET('Smelter Reference List'!$E$4,$S2398-4,0))</f>
        <v/>
      </c>
      <c r="G2398" s="168" t="str">
        <f ca="1">IF(C2398=$U$4,"Enter smelter details", IF(ISERROR($S2398),"",OFFSET('Smelter Reference List'!$F$4,$S2398-4,0)))</f>
        <v/>
      </c>
      <c r="H2398" s="292" t="str">
        <f ca="1">IF(ISERROR($S2398),"",OFFSET('Smelter Reference List'!$G$4,$S2398-4,0))</f>
        <v/>
      </c>
      <c r="I2398" s="293" t="str">
        <f ca="1">IF(ISERROR($S2398),"",OFFSET('Smelter Reference List'!$H$4,$S2398-4,0))</f>
        <v/>
      </c>
      <c r="J2398" s="293" t="str">
        <f ca="1">IF(ISERROR($S2398),"",OFFSET('Smelter Reference List'!$I$4,$S2398-4,0))</f>
        <v/>
      </c>
      <c r="K2398" s="290"/>
      <c r="L2398" s="290"/>
      <c r="M2398" s="290"/>
      <c r="N2398" s="290"/>
      <c r="O2398" s="290"/>
      <c r="P2398" s="290"/>
      <c r="Q2398" s="291"/>
      <c r="R2398" s="276"/>
      <c r="S2398" s="277" t="e">
        <f>IF(OR(C2398="",C2398=T$4),NA(),MATCH($B2398&amp;$C2398,'Smelter Reference List'!$J:$J,0))</f>
        <v>#N/A</v>
      </c>
      <c r="T2398" s="278"/>
      <c r="U2398" s="278"/>
      <c r="V2398" s="278"/>
      <c r="W2398" s="278"/>
    </row>
    <row r="2399" spans="1:23" s="269" customFormat="1" ht="20.25">
      <c r="A2399" s="267"/>
      <c r="B2399" s="275"/>
      <c r="C2399" s="275"/>
      <c r="D2399" s="168" t="str">
        <f ca="1">IF(ISERROR($S2399),"",OFFSET('Smelter Reference List'!$C$4,$S2399-4,0)&amp;"")</f>
        <v/>
      </c>
      <c r="E2399" s="168" t="str">
        <f ca="1">IF(ISERROR($S2399),"",OFFSET('Smelter Reference List'!$D$4,$S2399-4,0)&amp;"")</f>
        <v/>
      </c>
      <c r="F2399" s="168" t="str">
        <f ca="1">IF(ISERROR($S2399),"",OFFSET('Smelter Reference List'!$E$4,$S2399-4,0))</f>
        <v/>
      </c>
      <c r="G2399" s="168" t="str">
        <f ca="1">IF(C2399=$U$4,"Enter smelter details", IF(ISERROR($S2399),"",OFFSET('Smelter Reference List'!$F$4,$S2399-4,0)))</f>
        <v/>
      </c>
      <c r="H2399" s="292" t="str">
        <f ca="1">IF(ISERROR($S2399),"",OFFSET('Smelter Reference List'!$G$4,$S2399-4,0))</f>
        <v/>
      </c>
      <c r="I2399" s="293" t="str">
        <f ca="1">IF(ISERROR($S2399),"",OFFSET('Smelter Reference List'!$H$4,$S2399-4,0))</f>
        <v/>
      </c>
      <c r="J2399" s="293" t="str">
        <f ca="1">IF(ISERROR($S2399),"",OFFSET('Smelter Reference List'!$I$4,$S2399-4,0))</f>
        <v/>
      </c>
      <c r="K2399" s="290"/>
      <c r="L2399" s="290"/>
      <c r="M2399" s="290"/>
      <c r="N2399" s="290"/>
      <c r="O2399" s="290"/>
      <c r="P2399" s="290"/>
      <c r="Q2399" s="291"/>
      <c r="R2399" s="276"/>
      <c r="S2399" s="277" t="e">
        <f>IF(OR(C2399="",C2399=T$4),NA(),MATCH($B2399&amp;$C2399,'Smelter Reference List'!$J:$J,0))</f>
        <v>#N/A</v>
      </c>
      <c r="T2399" s="278"/>
      <c r="U2399" s="278"/>
      <c r="V2399" s="278"/>
      <c r="W2399" s="278"/>
    </row>
    <row r="2400" spans="1:23" s="269" customFormat="1" ht="20.25">
      <c r="A2400" s="267"/>
      <c r="B2400" s="275"/>
      <c r="C2400" s="275"/>
      <c r="D2400" s="168" t="str">
        <f ca="1">IF(ISERROR($S2400),"",OFFSET('Smelter Reference List'!$C$4,$S2400-4,0)&amp;"")</f>
        <v/>
      </c>
      <c r="E2400" s="168" t="str">
        <f ca="1">IF(ISERROR($S2400),"",OFFSET('Smelter Reference List'!$D$4,$S2400-4,0)&amp;"")</f>
        <v/>
      </c>
      <c r="F2400" s="168" t="str">
        <f ca="1">IF(ISERROR($S2400),"",OFFSET('Smelter Reference List'!$E$4,$S2400-4,0))</f>
        <v/>
      </c>
      <c r="G2400" s="168" t="str">
        <f ca="1">IF(C2400=$U$4,"Enter smelter details", IF(ISERROR($S2400),"",OFFSET('Smelter Reference List'!$F$4,$S2400-4,0)))</f>
        <v/>
      </c>
      <c r="H2400" s="292" t="str">
        <f ca="1">IF(ISERROR($S2400),"",OFFSET('Smelter Reference List'!$G$4,$S2400-4,0))</f>
        <v/>
      </c>
      <c r="I2400" s="293" t="str">
        <f ca="1">IF(ISERROR($S2400),"",OFFSET('Smelter Reference List'!$H$4,$S2400-4,0))</f>
        <v/>
      </c>
      <c r="J2400" s="293" t="str">
        <f ca="1">IF(ISERROR($S2400),"",OFFSET('Smelter Reference List'!$I$4,$S2400-4,0))</f>
        <v/>
      </c>
      <c r="K2400" s="290"/>
      <c r="L2400" s="290"/>
      <c r="M2400" s="290"/>
      <c r="N2400" s="290"/>
      <c r="O2400" s="290"/>
      <c r="P2400" s="290"/>
      <c r="Q2400" s="291"/>
      <c r="R2400" s="276"/>
      <c r="S2400" s="277" t="e">
        <f>IF(OR(C2400="",C2400=T$4),NA(),MATCH($B2400&amp;$C2400,'Smelter Reference List'!$J:$J,0))</f>
        <v>#N/A</v>
      </c>
      <c r="T2400" s="278"/>
      <c r="U2400" s="278"/>
      <c r="V2400" s="278"/>
      <c r="W2400" s="278"/>
    </row>
    <row r="2401" spans="1:23" s="269" customFormat="1" ht="20.25">
      <c r="A2401" s="267"/>
      <c r="B2401" s="275"/>
      <c r="C2401" s="275"/>
      <c r="D2401" s="168" t="str">
        <f ca="1">IF(ISERROR($S2401),"",OFFSET('Smelter Reference List'!$C$4,$S2401-4,0)&amp;"")</f>
        <v/>
      </c>
      <c r="E2401" s="168" t="str">
        <f ca="1">IF(ISERROR($S2401),"",OFFSET('Smelter Reference List'!$D$4,$S2401-4,0)&amp;"")</f>
        <v/>
      </c>
      <c r="F2401" s="168" t="str">
        <f ca="1">IF(ISERROR($S2401),"",OFFSET('Smelter Reference List'!$E$4,$S2401-4,0))</f>
        <v/>
      </c>
      <c r="G2401" s="168" t="str">
        <f ca="1">IF(C2401=$U$4,"Enter smelter details", IF(ISERROR($S2401),"",OFFSET('Smelter Reference List'!$F$4,$S2401-4,0)))</f>
        <v/>
      </c>
      <c r="H2401" s="292" t="str">
        <f ca="1">IF(ISERROR($S2401),"",OFFSET('Smelter Reference List'!$G$4,$S2401-4,0))</f>
        <v/>
      </c>
      <c r="I2401" s="293" t="str">
        <f ca="1">IF(ISERROR($S2401),"",OFFSET('Smelter Reference List'!$H$4,$S2401-4,0))</f>
        <v/>
      </c>
      <c r="J2401" s="293" t="str">
        <f ca="1">IF(ISERROR($S2401),"",OFFSET('Smelter Reference List'!$I$4,$S2401-4,0))</f>
        <v/>
      </c>
      <c r="K2401" s="290"/>
      <c r="L2401" s="290"/>
      <c r="M2401" s="290"/>
      <c r="N2401" s="290"/>
      <c r="O2401" s="290"/>
      <c r="P2401" s="290"/>
      <c r="Q2401" s="291"/>
      <c r="R2401" s="276"/>
      <c r="S2401" s="277" t="e">
        <f>IF(OR(C2401="",C2401=T$4),NA(),MATCH($B2401&amp;$C2401,'Smelter Reference List'!$J:$J,0))</f>
        <v>#N/A</v>
      </c>
      <c r="T2401" s="278"/>
      <c r="U2401" s="278"/>
      <c r="V2401" s="278"/>
      <c r="W2401" s="278"/>
    </row>
    <row r="2402" spans="1:23" s="269" customFormat="1" ht="20.25">
      <c r="A2402" s="267"/>
      <c r="B2402" s="275"/>
      <c r="C2402" s="275"/>
      <c r="D2402" s="168" t="str">
        <f ca="1">IF(ISERROR($S2402),"",OFFSET('Smelter Reference List'!$C$4,$S2402-4,0)&amp;"")</f>
        <v/>
      </c>
      <c r="E2402" s="168" t="str">
        <f ca="1">IF(ISERROR($S2402),"",OFFSET('Smelter Reference List'!$D$4,$S2402-4,0)&amp;"")</f>
        <v/>
      </c>
      <c r="F2402" s="168" t="str">
        <f ca="1">IF(ISERROR($S2402),"",OFFSET('Smelter Reference List'!$E$4,$S2402-4,0))</f>
        <v/>
      </c>
      <c r="G2402" s="168" t="str">
        <f ca="1">IF(C2402=$U$4,"Enter smelter details", IF(ISERROR($S2402),"",OFFSET('Smelter Reference List'!$F$4,$S2402-4,0)))</f>
        <v/>
      </c>
      <c r="H2402" s="292" t="str">
        <f ca="1">IF(ISERROR($S2402),"",OFFSET('Smelter Reference List'!$G$4,$S2402-4,0))</f>
        <v/>
      </c>
      <c r="I2402" s="293" t="str">
        <f ca="1">IF(ISERROR($S2402),"",OFFSET('Smelter Reference List'!$H$4,$S2402-4,0))</f>
        <v/>
      </c>
      <c r="J2402" s="293" t="str">
        <f ca="1">IF(ISERROR($S2402),"",OFFSET('Smelter Reference List'!$I$4,$S2402-4,0))</f>
        <v/>
      </c>
      <c r="K2402" s="290"/>
      <c r="L2402" s="290"/>
      <c r="M2402" s="290"/>
      <c r="N2402" s="290"/>
      <c r="O2402" s="290"/>
      <c r="P2402" s="290"/>
      <c r="Q2402" s="291"/>
      <c r="R2402" s="276"/>
      <c r="S2402" s="277" t="e">
        <f>IF(OR(C2402="",C2402=T$4),NA(),MATCH($B2402&amp;$C2402,'Smelter Reference List'!$J:$J,0))</f>
        <v>#N/A</v>
      </c>
      <c r="T2402" s="278"/>
      <c r="U2402" s="278"/>
      <c r="V2402" s="278"/>
      <c r="W2402" s="278"/>
    </row>
    <row r="2403" spans="1:23" s="269" customFormat="1" ht="20.25">
      <c r="A2403" s="267"/>
      <c r="B2403" s="275"/>
      <c r="C2403" s="275"/>
      <c r="D2403" s="168" t="str">
        <f ca="1">IF(ISERROR($S2403),"",OFFSET('Smelter Reference List'!$C$4,$S2403-4,0)&amp;"")</f>
        <v/>
      </c>
      <c r="E2403" s="168" t="str">
        <f ca="1">IF(ISERROR($S2403),"",OFFSET('Smelter Reference List'!$D$4,$S2403-4,0)&amp;"")</f>
        <v/>
      </c>
      <c r="F2403" s="168" t="str">
        <f ca="1">IF(ISERROR($S2403),"",OFFSET('Smelter Reference List'!$E$4,$S2403-4,0))</f>
        <v/>
      </c>
      <c r="G2403" s="168" t="str">
        <f ca="1">IF(C2403=$U$4,"Enter smelter details", IF(ISERROR($S2403),"",OFFSET('Smelter Reference List'!$F$4,$S2403-4,0)))</f>
        <v/>
      </c>
      <c r="H2403" s="292" t="str">
        <f ca="1">IF(ISERROR($S2403),"",OFFSET('Smelter Reference List'!$G$4,$S2403-4,0))</f>
        <v/>
      </c>
      <c r="I2403" s="293" t="str">
        <f ca="1">IF(ISERROR($S2403),"",OFFSET('Smelter Reference List'!$H$4,$S2403-4,0))</f>
        <v/>
      </c>
      <c r="J2403" s="293" t="str">
        <f ca="1">IF(ISERROR($S2403),"",OFFSET('Smelter Reference List'!$I$4,$S2403-4,0))</f>
        <v/>
      </c>
      <c r="K2403" s="290"/>
      <c r="L2403" s="290"/>
      <c r="M2403" s="290"/>
      <c r="N2403" s="290"/>
      <c r="O2403" s="290"/>
      <c r="P2403" s="290"/>
      <c r="Q2403" s="291"/>
      <c r="R2403" s="276"/>
      <c r="S2403" s="277" t="e">
        <f>IF(OR(C2403="",C2403=T$4),NA(),MATCH($B2403&amp;$C2403,'Smelter Reference List'!$J:$J,0))</f>
        <v>#N/A</v>
      </c>
      <c r="T2403" s="278"/>
      <c r="U2403" s="278"/>
      <c r="V2403" s="278"/>
      <c r="W2403" s="278"/>
    </row>
    <row r="2404" spans="1:23" s="269" customFormat="1" ht="20.25">
      <c r="A2404" s="267"/>
      <c r="B2404" s="275"/>
      <c r="C2404" s="275"/>
      <c r="D2404" s="168" t="str">
        <f ca="1">IF(ISERROR($S2404),"",OFFSET('Smelter Reference List'!$C$4,$S2404-4,0)&amp;"")</f>
        <v/>
      </c>
      <c r="E2404" s="168" t="str">
        <f ca="1">IF(ISERROR($S2404),"",OFFSET('Smelter Reference List'!$D$4,$S2404-4,0)&amp;"")</f>
        <v/>
      </c>
      <c r="F2404" s="168" t="str">
        <f ca="1">IF(ISERROR($S2404),"",OFFSET('Smelter Reference List'!$E$4,$S2404-4,0))</f>
        <v/>
      </c>
      <c r="G2404" s="168" t="str">
        <f ca="1">IF(C2404=$U$4,"Enter smelter details", IF(ISERROR($S2404),"",OFFSET('Smelter Reference List'!$F$4,$S2404-4,0)))</f>
        <v/>
      </c>
      <c r="H2404" s="292" t="str">
        <f ca="1">IF(ISERROR($S2404),"",OFFSET('Smelter Reference List'!$G$4,$S2404-4,0))</f>
        <v/>
      </c>
      <c r="I2404" s="293" t="str">
        <f ca="1">IF(ISERROR($S2404),"",OFFSET('Smelter Reference List'!$H$4,$S2404-4,0))</f>
        <v/>
      </c>
      <c r="J2404" s="293" t="str">
        <f ca="1">IF(ISERROR($S2404),"",OFFSET('Smelter Reference List'!$I$4,$S2404-4,0))</f>
        <v/>
      </c>
      <c r="K2404" s="290"/>
      <c r="L2404" s="290"/>
      <c r="M2404" s="290"/>
      <c r="N2404" s="290"/>
      <c r="O2404" s="290"/>
      <c r="P2404" s="290"/>
      <c r="Q2404" s="291"/>
      <c r="R2404" s="276"/>
      <c r="S2404" s="277" t="e">
        <f>IF(OR(C2404="",C2404=T$4),NA(),MATCH($B2404&amp;$C2404,'Smelter Reference List'!$J:$J,0))</f>
        <v>#N/A</v>
      </c>
      <c r="T2404" s="278"/>
      <c r="U2404" s="278"/>
      <c r="V2404" s="278"/>
      <c r="W2404" s="278"/>
    </row>
    <row r="2405" spans="1:23" s="269" customFormat="1" ht="20.25">
      <c r="A2405" s="267"/>
      <c r="B2405" s="275"/>
      <c r="C2405" s="275"/>
      <c r="D2405" s="168" t="str">
        <f ca="1">IF(ISERROR($S2405),"",OFFSET('Smelter Reference List'!$C$4,$S2405-4,0)&amp;"")</f>
        <v/>
      </c>
      <c r="E2405" s="168" t="str">
        <f ca="1">IF(ISERROR($S2405),"",OFFSET('Smelter Reference List'!$D$4,$S2405-4,0)&amp;"")</f>
        <v/>
      </c>
      <c r="F2405" s="168" t="str">
        <f ca="1">IF(ISERROR($S2405),"",OFFSET('Smelter Reference List'!$E$4,$S2405-4,0))</f>
        <v/>
      </c>
      <c r="G2405" s="168" t="str">
        <f ca="1">IF(C2405=$U$4,"Enter smelter details", IF(ISERROR($S2405),"",OFFSET('Smelter Reference List'!$F$4,$S2405-4,0)))</f>
        <v/>
      </c>
      <c r="H2405" s="292" t="str">
        <f ca="1">IF(ISERROR($S2405),"",OFFSET('Smelter Reference List'!$G$4,$S2405-4,0))</f>
        <v/>
      </c>
      <c r="I2405" s="293" t="str">
        <f ca="1">IF(ISERROR($S2405),"",OFFSET('Smelter Reference List'!$H$4,$S2405-4,0))</f>
        <v/>
      </c>
      <c r="J2405" s="293" t="str">
        <f ca="1">IF(ISERROR($S2405),"",OFFSET('Smelter Reference List'!$I$4,$S2405-4,0))</f>
        <v/>
      </c>
      <c r="K2405" s="290"/>
      <c r="L2405" s="290"/>
      <c r="M2405" s="290"/>
      <c r="N2405" s="290"/>
      <c r="O2405" s="290"/>
      <c r="P2405" s="290"/>
      <c r="Q2405" s="291"/>
      <c r="R2405" s="276"/>
      <c r="S2405" s="277" t="e">
        <f>IF(OR(C2405="",C2405=T$4),NA(),MATCH($B2405&amp;$C2405,'Smelter Reference List'!$J:$J,0))</f>
        <v>#N/A</v>
      </c>
      <c r="T2405" s="278"/>
      <c r="U2405" s="278"/>
      <c r="V2405" s="278"/>
      <c r="W2405" s="278"/>
    </row>
    <row r="2406" spans="1:23" s="269" customFormat="1" ht="20.25">
      <c r="A2406" s="267"/>
      <c r="B2406" s="275"/>
      <c r="C2406" s="275"/>
      <c r="D2406" s="168" t="str">
        <f ca="1">IF(ISERROR($S2406),"",OFFSET('Smelter Reference List'!$C$4,$S2406-4,0)&amp;"")</f>
        <v/>
      </c>
      <c r="E2406" s="168" t="str">
        <f ca="1">IF(ISERROR($S2406),"",OFFSET('Smelter Reference List'!$D$4,$S2406-4,0)&amp;"")</f>
        <v/>
      </c>
      <c r="F2406" s="168" t="str">
        <f ca="1">IF(ISERROR($S2406),"",OFFSET('Smelter Reference List'!$E$4,$S2406-4,0))</f>
        <v/>
      </c>
      <c r="G2406" s="168" t="str">
        <f ca="1">IF(C2406=$U$4,"Enter smelter details", IF(ISERROR($S2406),"",OFFSET('Smelter Reference List'!$F$4,$S2406-4,0)))</f>
        <v/>
      </c>
      <c r="H2406" s="292" t="str">
        <f ca="1">IF(ISERROR($S2406),"",OFFSET('Smelter Reference List'!$G$4,$S2406-4,0))</f>
        <v/>
      </c>
      <c r="I2406" s="293" t="str">
        <f ca="1">IF(ISERROR($S2406),"",OFFSET('Smelter Reference List'!$H$4,$S2406-4,0))</f>
        <v/>
      </c>
      <c r="J2406" s="293" t="str">
        <f ca="1">IF(ISERROR($S2406),"",OFFSET('Smelter Reference List'!$I$4,$S2406-4,0))</f>
        <v/>
      </c>
      <c r="K2406" s="290"/>
      <c r="L2406" s="290"/>
      <c r="M2406" s="290"/>
      <c r="N2406" s="290"/>
      <c r="O2406" s="290"/>
      <c r="P2406" s="290"/>
      <c r="Q2406" s="291"/>
      <c r="R2406" s="276"/>
      <c r="S2406" s="277" t="e">
        <f>IF(OR(C2406="",C2406=T$4),NA(),MATCH($B2406&amp;$C2406,'Smelter Reference List'!$J:$J,0))</f>
        <v>#N/A</v>
      </c>
      <c r="T2406" s="278"/>
      <c r="U2406" s="278"/>
      <c r="V2406" s="278"/>
      <c r="W2406" s="278"/>
    </row>
    <row r="2407" spans="1:23" s="269" customFormat="1" ht="20.25">
      <c r="A2407" s="267"/>
      <c r="B2407" s="275"/>
      <c r="C2407" s="275"/>
      <c r="D2407" s="168" t="str">
        <f ca="1">IF(ISERROR($S2407),"",OFFSET('Smelter Reference List'!$C$4,$S2407-4,0)&amp;"")</f>
        <v/>
      </c>
      <c r="E2407" s="168" t="str">
        <f ca="1">IF(ISERROR($S2407),"",OFFSET('Smelter Reference List'!$D$4,$S2407-4,0)&amp;"")</f>
        <v/>
      </c>
      <c r="F2407" s="168" t="str">
        <f ca="1">IF(ISERROR($S2407),"",OFFSET('Smelter Reference List'!$E$4,$S2407-4,0))</f>
        <v/>
      </c>
      <c r="G2407" s="168" t="str">
        <f ca="1">IF(C2407=$U$4,"Enter smelter details", IF(ISERROR($S2407),"",OFFSET('Smelter Reference List'!$F$4,$S2407-4,0)))</f>
        <v/>
      </c>
      <c r="H2407" s="292" t="str">
        <f ca="1">IF(ISERROR($S2407),"",OFFSET('Smelter Reference List'!$G$4,$S2407-4,0))</f>
        <v/>
      </c>
      <c r="I2407" s="293" t="str">
        <f ca="1">IF(ISERROR($S2407),"",OFFSET('Smelter Reference List'!$H$4,$S2407-4,0))</f>
        <v/>
      </c>
      <c r="J2407" s="293" t="str">
        <f ca="1">IF(ISERROR($S2407),"",OFFSET('Smelter Reference List'!$I$4,$S2407-4,0))</f>
        <v/>
      </c>
      <c r="K2407" s="290"/>
      <c r="L2407" s="290"/>
      <c r="M2407" s="290"/>
      <c r="N2407" s="290"/>
      <c r="O2407" s="290"/>
      <c r="P2407" s="290"/>
      <c r="Q2407" s="291"/>
      <c r="R2407" s="276"/>
      <c r="S2407" s="277" t="e">
        <f>IF(OR(C2407="",C2407=T$4),NA(),MATCH($B2407&amp;$C2407,'Smelter Reference List'!$J:$J,0))</f>
        <v>#N/A</v>
      </c>
      <c r="T2407" s="278"/>
      <c r="U2407" s="278"/>
      <c r="V2407" s="278"/>
      <c r="W2407" s="278"/>
    </row>
    <row r="2408" spans="1:23" s="269" customFormat="1" ht="20.25">
      <c r="A2408" s="267"/>
      <c r="B2408" s="275"/>
      <c r="C2408" s="275"/>
      <c r="D2408" s="168" t="str">
        <f ca="1">IF(ISERROR($S2408),"",OFFSET('Smelter Reference List'!$C$4,$S2408-4,0)&amp;"")</f>
        <v/>
      </c>
      <c r="E2408" s="168" t="str">
        <f ca="1">IF(ISERROR($S2408),"",OFFSET('Smelter Reference List'!$D$4,$S2408-4,0)&amp;"")</f>
        <v/>
      </c>
      <c r="F2408" s="168" t="str">
        <f ca="1">IF(ISERROR($S2408),"",OFFSET('Smelter Reference List'!$E$4,$S2408-4,0))</f>
        <v/>
      </c>
      <c r="G2408" s="168" t="str">
        <f ca="1">IF(C2408=$U$4,"Enter smelter details", IF(ISERROR($S2408),"",OFFSET('Smelter Reference List'!$F$4,$S2408-4,0)))</f>
        <v/>
      </c>
      <c r="H2408" s="292" t="str">
        <f ca="1">IF(ISERROR($S2408),"",OFFSET('Smelter Reference List'!$G$4,$S2408-4,0))</f>
        <v/>
      </c>
      <c r="I2408" s="293" t="str">
        <f ca="1">IF(ISERROR($S2408),"",OFFSET('Smelter Reference List'!$H$4,$S2408-4,0))</f>
        <v/>
      </c>
      <c r="J2408" s="293" t="str">
        <f ca="1">IF(ISERROR($S2408),"",OFFSET('Smelter Reference List'!$I$4,$S2408-4,0))</f>
        <v/>
      </c>
      <c r="K2408" s="290"/>
      <c r="L2408" s="290"/>
      <c r="M2408" s="290"/>
      <c r="N2408" s="290"/>
      <c r="O2408" s="290"/>
      <c r="P2408" s="290"/>
      <c r="Q2408" s="291"/>
      <c r="R2408" s="276"/>
      <c r="S2408" s="277" t="e">
        <f>IF(OR(C2408="",C2408=T$4),NA(),MATCH($B2408&amp;$C2408,'Smelter Reference List'!$J:$J,0))</f>
        <v>#N/A</v>
      </c>
      <c r="T2408" s="278"/>
      <c r="U2408" s="278"/>
      <c r="V2408" s="278"/>
      <c r="W2408" s="278"/>
    </row>
    <row r="2409" spans="1:23" s="269" customFormat="1" ht="20.25">
      <c r="A2409" s="267"/>
      <c r="B2409" s="275"/>
      <c r="C2409" s="275"/>
      <c r="D2409" s="168" t="str">
        <f ca="1">IF(ISERROR($S2409),"",OFFSET('Smelter Reference List'!$C$4,$S2409-4,0)&amp;"")</f>
        <v/>
      </c>
      <c r="E2409" s="168" t="str">
        <f ca="1">IF(ISERROR($S2409),"",OFFSET('Smelter Reference List'!$D$4,$S2409-4,0)&amp;"")</f>
        <v/>
      </c>
      <c r="F2409" s="168" t="str">
        <f ca="1">IF(ISERROR($S2409),"",OFFSET('Smelter Reference List'!$E$4,$S2409-4,0))</f>
        <v/>
      </c>
      <c r="G2409" s="168" t="str">
        <f ca="1">IF(C2409=$U$4,"Enter smelter details", IF(ISERROR($S2409),"",OFFSET('Smelter Reference List'!$F$4,$S2409-4,0)))</f>
        <v/>
      </c>
      <c r="H2409" s="292" t="str">
        <f ca="1">IF(ISERROR($S2409),"",OFFSET('Smelter Reference List'!$G$4,$S2409-4,0))</f>
        <v/>
      </c>
      <c r="I2409" s="293" t="str">
        <f ca="1">IF(ISERROR($S2409),"",OFFSET('Smelter Reference List'!$H$4,$S2409-4,0))</f>
        <v/>
      </c>
      <c r="J2409" s="293" t="str">
        <f ca="1">IF(ISERROR($S2409),"",OFFSET('Smelter Reference List'!$I$4,$S2409-4,0))</f>
        <v/>
      </c>
      <c r="K2409" s="290"/>
      <c r="L2409" s="290"/>
      <c r="M2409" s="290"/>
      <c r="N2409" s="290"/>
      <c r="O2409" s="290"/>
      <c r="P2409" s="290"/>
      <c r="Q2409" s="291"/>
      <c r="R2409" s="276"/>
      <c r="S2409" s="277" t="e">
        <f>IF(OR(C2409="",C2409=T$4),NA(),MATCH($B2409&amp;$C2409,'Smelter Reference List'!$J:$J,0))</f>
        <v>#N/A</v>
      </c>
      <c r="T2409" s="278"/>
      <c r="U2409" s="278"/>
      <c r="V2409" s="278"/>
      <c r="W2409" s="278"/>
    </row>
    <row r="2410" spans="1:23" s="269" customFormat="1" ht="20.25">
      <c r="A2410" s="267"/>
      <c r="B2410" s="275"/>
      <c r="C2410" s="275"/>
      <c r="D2410" s="168" t="str">
        <f ca="1">IF(ISERROR($S2410),"",OFFSET('Smelter Reference List'!$C$4,$S2410-4,0)&amp;"")</f>
        <v/>
      </c>
      <c r="E2410" s="168" t="str">
        <f ca="1">IF(ISERROR($S2410),"",OFFSET('Smelter Reference List'!$D$4,$S2410-4,0)&amp;"")</f>
        <v/>
      </c>
      <c r="F2410" s="168" t="str">
        <f ca="1">IF(ISERROR($S2410),"",OFFSET('Smelter Reference List'!$E$4,$S2410-4,0))</f>
        <v/>
      </c>
      <c r="G2410" s="168" t="str">
        <f ca="1">IF(C2410=$U$4,"Enter smelter details", IF(ISERROR($S2410),"",OFFSET('Smelter Reference List'!$F$4,$S2410-4,0)))</f>
        <v/>
      </c>
      <c r="H2410" s="292" t="str">
        <f ca="1">IF(ISERROR($S2410),"",OFFSET('Smelter Reference List'!$G$4,$S2410-4,0))</f>
        <v/>
      </c>
      <c r="I2410" s="293" t="str">
        <f ca="1">IF(ISERROR($S2410),"",OFFSET('Smelter Reference List'!$H$4,$S2410-4,0))</f>
        <v/>
      </c>
      <c r="J2410" s="293" t="str">
        <f ca="1">IF(ISERROR($S2410),"",OFFSET('Smelter Reference List'!$I$4,$S2410-4,0))</f>
        <v/>
      </c>
      <c r="K2410" s="290"/>
      <c r="L2410" s="290"/>
      <c r="M2410" s="290"/>
      <c r="N2410" s="290"/>
      <c r="O2410" s="290"/>
      <c r="P2410" s="290"/>
      <c r="Q2410" s="291"/>
      <c r="R2410" s="276"/>
      <c r="S2410" s="277" t="e">
        <f>IF(OR(C2410="",C2410=T$4),NA(),MATCH($B2410&amp;$C2410,'Smelter Reference List'!$J:$J,0))</f>
        <v>#N/A</v>
      </c>
      <c r="T2410" s="278"/>
      <c r="U2410" s="278"/>
      <c r="V2410" s="278"/>
      <c r="W2410" s="278"/>
    </row>
    <row r="2411" spans="1:23" s="269" customFormat="1" ht="20.25">
      <c r="A2411" s="267"/>
      <c r="B2411" s="275"/>
      <c r="C2411" s="275"/>
      <c r="D2411" s="168" t="str">
        <f ca="1">IF(ISERROR($S2411),"",OFFSET('Smelter Reference List'!$C$4,$S2411-4,0)&amp;"")</f>
        <v/>
      </c>
      <c r="E2411" s="168" t="str">
        <f ca="1">IF(ISERROR($S2411),"",OFFSET('Smelter Reference List'!$D$4,$S2411-4,0)&amp;"")</f>
        <v/>
      </c>
      <c r="F2411" s="168" t="str">
        <f ca="1">IF(ISERROR($S2411),"",OFFSET('Smelter Reference List'!$E$4,$S2411-4,0))</f>
        <v/>
      </c>
      <c r="G2411" s="168" t="str">
        <f ca="1">IF(C2411=$U$4,"Enter smelter details", IF(ISERROR($S2411),"",OFFSET('Smelter Reference List'!$F$4,$S2411-4,0)))</f>
        <v/>
      </c>
      <c r="H2411" s="292" t="str">
        <f ca="1">IF(ISERROR($S2411),"",OFFSET('Smelter Reference List'!$G$4,$S2411-4,0))</f>
        <v/>
      </c>
      <c r="I2411" s="293" t="str">
        <f ca="1">IF(ISERROR($S2411),"",OFFSET('Smelter Reference List'!$H$4,$S2411-4,0))</f>
        <v/>
      </c>
      <c r="J2411" s="293" t="str">
        <f ca="1">IF(ISERROR($S2411),"",OFFSET('Smelter Reference List'!$I$4,$S2411-4,0))</f>
        <v/>
      </c>
      <c r="K2411" s="290"/>
      <c r="L2411" s="290"/>
      <c r="M2411" s="290"/>
      <c r="N2411" s="290"/>
      <c r="O2411" s="290"/>
      <c r="P2411" s="290"/>
      <c r="Q2411" s="291"/>
      <c r="R2411" s="276"/>
      <c r="S2411" s="277" t="e">
        <f>IF(OR(C2411="",C2411=T$4),NA(),MATCH($B2411&amp;$C2411,'Smelter Reference List'!$J:$J,0))</f>
        <v>#N/A</v>
      </c>
      <c r="T2411" s="278"/>
      <c r="U2411" s="278"/>
      <c r="V2411" s="278"/>
      <c r="W2411" s="278"/>
    </row>
    <row r="2412" spans="1:23" s="269" customFormat="1" ht="20.25">
      <c r="A2412" s="267"/>
      <c r="B2412" s="275"/>
      <c r="C2412" s="275"/>
      <c r="D2412" s="168" t="str">
        <f ca="1">IF(ISERROR($S2412),"",OFFSET('Smelter Reference List'!$C$4,$S2412-4,0)&amp;"")</f>
        <v/>
      </c>
      <c r="E2412" s="168" t="str">
        <f ca="1">IF(ISERROR($S2412),"",OFFSET('Smelter Reference List'!$D$4,$S2412-4,0)&amp;"")</f>
        <v/>
      </c>
      <c r="F2412" s="168" t="str">
        <f ca="1">IF(ISERROR($S2412),"",OFFSET('Smelter Reference List'!$E$4,$S2412-4,0))</f>
        <v/>
      </c>
      <c r="G2412" s="168" t="str">
        <f ca="1">IF(C2412=$U$4,"Enter smelter details", IF(ISERROR($S2412),"",OFFSET('Smelter Reference List'!$F$4,$S2412-4,0)))</f>
        <v/>
      </c>
      <c r="H2412" s="292" t="str">
        <f ca="1">IF(ISERROR($S2412),"",OFFSET('Smelter Reference List'!$G$4,$S2412-4,0))</f>
        <v/>
      </c>
      <c r="I2412" s="293" t="str">
        <f ca="1">IF(ISERROR($S2412),"",OFFSET('Smelter Reference List'!$H$4,$S2412-4,0))</f>
        <v/>
      </c>
      <c r="J2412" s="293" t="str">
        <f ca="1">IF(ISERROR($S2412),"",OFFSET('Smelter Reference List'!$I$4,$S2412-4,0))</f>
        <v/>
      </c>
      <c r="K2412" s="290"/>
      <c r="L2412" s="290"/>
      <c r="M2412" s="290"/>
      <c r="N2412" s="290"/>
      <c r="O2412" s="290"/>
      <c r="P2412" s="290"/>
      <c r="Q2412" s="291"/>
      <c r="R2412" s="276"/>
      <c r="S2412" s="277" t="e">
        <f>IF(OR(C2412="",C2412=T$4),NA(),MATCH($B2412&amp;$C2412,'Smelter Reference List'!$J:$J,0))</f>
        <v>#N/A</v>
      </c>
      <c r="T2412" s="278"/>
      <c r="U2412" s="278"/>
      <c r="V2412" s="278"/>
      <c r="W2412" s="278"/>
    </row>
    <row r="2413" spans="1:23" s="269" customFormat="1" ht="20.25">
      <c r="A2413" s="267"/>
      <c r="B2413" s="275"/>
      <c r="C2413" s="275"/>
      <c r="D2413" s="168" t="str">
        <f ca="1">IF(ISERROR($S2413),"",OFFSET('Smelter Reference List'!$C$4,$S2413-4,0)&amp;"")</f>
        <v/>
      </c>
      <c r="E2413" s="168" t="str">
        <f ca="1">IF(ISERROR($S2413),"",OFFSET('Smelter Reference List'!$D$4,$S2413-4,0)&amp;"")</f>
        <v/>
      </c>
      <c r="F2413" s="168" t="str">
        <f ca="1">IF(ISERROR($S2413),"",OFFSET('Smelter Reference List'!$E$4,$S2413-4,0))</f>
        <v/>
      </c>
      <c r="G2413" s="168" t="str">
        <f ca="1">IF(C2413=$U$4,"Enter smelter details", IF(ISERROR($S2413),"",OFFSET('Smelter Reference List'!$F$4,$S2413-4,0)))</f>
        <v/>
      </c>
      <c r="H2413" s="292" t="str">
        <f ca="1">IF(ISERROR($S2413),"",OFFSET('Smelter Reference List'!$G$4,$S2413-4,0))</f>
        <v/>
      </c>
      <c r="I2413" s="293" t="str">
        <f ca="1">IF(ISERROR($S2413),"",OFFSET('Smelter Reference List'!$H$4,$S2413-4,0))</f>
        <v/>
      </c>
      <c r="J2413" s="293" t="str">
        <f ca="1">IF(ISERROR($S2413),"",OFFSET('Smelter Reference List'!$I$4,$S2413-4,0))</f>
        <v/>
      </c>
      <c r="K2413" s="290"/>
      <c r="L2413" s="290"/>
      <c r="M2413" s="290"/>
      <c r="N2413" s="290"/>
      <c r="O2413" s="290"/>
      <c r="P2413" s="290"/>
      <c r="Q2413" s="291"/>
      <c r="R2413" s="276"/>
      <c r="S2413" s="277" t="e">
        <f>IF(OR(C2413="",C2413=T$4),NA(),MATCH($B2413&amp;$C2413,'Smelter Reference List'!$J:$J,0))</f>
        <v>#N/A</v>
      </c>
      <c r="T2413" s="278"/>
      <c r="U2413" s="278"/>
      <c r="V2413" s="278"/>
      <c r="W2413" s="278"/>
    </row>
    <row r="2414" spans="1:23" s="269" customFormat="1" ht="20.25">
      <c r="A2414" s="267"/>
      <c r="B2414" s="275"/>
      <c r="C2414" s="275"/>
      <c r="D2414" s="168" t="str">
        <f ca="1">IF(ISERROR($S2414),"",OFFSET('Smelter Reference List'!$C$4,$S2414-4,0)&amp;"")</f>
        <v/>
      </c>
      <c r="E2414" s="168" t="str">
        <f ca="1">IF(ISERROR($S2414),"",OFFSET('Smelter Reference List'!$D$4,$S2414-4,0)&amp;"")</f>
        <v/>
      </c>
      <c r="F2414" s="168" t="str">
        <f ca="1">IF(ISERROR($S2414),"",OFFSET('Smelter Reference List'!$E$4,$S2414-4,0))</f>
        <v/>
      </c>
      <c r="G2414" s="168" t="str">
        <f ca="1">IF(C2414=$U$4,"Enter smelter details", IF(ISERROR($S2414),"",OFFSET('Smelter Reference List'!$F$4,$S2414-4,0)))</f>
        <v/>
      </c>
      <c r="H2414" s="292" t="str">
        <f ca="1">IF(ISERROR($S2414),"",OFFSET('Smelter Reference List'!$G$4,$S2414-4,0))</f>
        <v/>
      </c>
      <c r="I2414" s="293" t="str">
        <f ca="1">IF(ISERROR($S2414),"",OFFSET('Smelter Reference List'!$H$4,$S2414-4,0))</f>
        <v/>
      </c>
      <c r="J2414" s="293" t="str">
        <f ca="1">IF(ISERROR($S2414),"",OFFSET('Smelter Reference List'!$I$4,$S2414-4,0))</f>
        <v/>
      </c>
      <c r="K2414" s="290"/>
      <c r="L2414" s="290"/>
      <c r="M2414" s="290"/>
      <c r="N2414" s="290"/>
      <c r="O2414" s="290"/>
      <c r="P2414" s="290"/>
      <c r="Q2414" s="291"/>
      <c r="R2414" s="276"/>
      <c r="S2414" s="277" t="e">
        <f>IF(OR(C2414="",C2414=T$4),NA(),MATCH($B2414&amp;$C2414,'Smelter Reference List'!$J:$J,0))</f>
        <v>#N/A</v>
      </c>
      <c r="T2414" s="278"/>
      <c r="U2414" s="278"/>
      <c r="V2414" s="278"/>
      <c r="W2414" s="278"/>
    </row>
    <row r="2415" spans="1:23" s="269" customFormat="1" ht="20.25">
      <c r="A2415" s="267"/>
      <c r="B2415" s="275"/>
      <c r="C2415" s="275"/>
      <c r="D2415" s="168" t="str">
        <f ca="1">IF(ISERROR($S2415),"",OFFSET('Smelter Reference List'!$C$4,$S2415-4,0)&amp;"")</f>
        <v/>
      </c>
      <c r="E2415" s="168" t="str">
        <f ca="1">IF(ISERROR($S2415),"",OFFSET('Smelter Reference List'!$D$4,$S2415-4,0)&amp;"")</f>
        <v/>
      </c>
      <c r="F2415" s="168" t="str">
        <f ca="1">IF(ISERROR($S2415),"",OFFSET('Smelter Reference List'!$E$4,$S2415-4,0))</f>
        <v/>
      </c>
      <c r="G2415" s="168" t="str">
        <f ca="1">IF(C2415=$U$4,"Enter smelter details", IF(ISERROR($S2415),"",OFFSET('Smelter Reference List'!$F$4,$S2415-4,0)))</f>
        <v/>
      </c>
      <c r="H2415" s="292" t="str">
        <f ca="1">IF(ISERROR($S2415),"",OFFSET('Smelter Reference List'!$G$4,$S2415-4,0))</f>
        <v/>
      </c>
      <c r="I2415" s="293" t="str">
        <f ca="1">IF(ISERROR($S2415),"",OFFSET('Smelter Reference List'!$H$4,$S2415-4,0))</f>
        <v/>
      </c>
      <c r="J2415" s="293" t="str">
        <f ca="1">IF(ISERROR($S2415),"",OFFSET('Smelter Reference List'!$I$4,$S2415-4,0))</f>
        <v/>
      </c>
      <c r="K2415" s="290"/>
      <c r="L2415" s="290"/>
      <c r="M2415" s="290"/>
      <c r="N2415" s="290"/>
      <c r="O2415" s="290"/>
      <c r="P2415" s="290"/>
      <c r="Q2415" s="291"/>
      <c r="R2415" s="276"/>
      <c r="S2415" s="277" t="e">
        <f>IF(OR(C2415="",C2415=T$4),NA(),MATCH($B2415&amp;$C2415,'Smelter Reference List'!$J:$J,0))</f>
        <v>#N/A</v>
      </c>
      <c r="T2415" s="278"/>
      <c r="U2415" s="278"/>
      <c r="V2415" s="278"/>
      <c r="W2415" s="278"/>
    </row>
    <row r="2416" spans="1:23" s="269" customFormat="1" ht="20.25">
      <c r="A2416" s="267"/>
      <c r="B2416" s="275"/>
      <c r="C2416" s="275"/>
      <c r="D2416" s="168" t="str">
        <f ca="1">IF(ISERROR($S2416),"",OFFSET('Smelter Reference List'!$C$4,$S2416-4,0)&amp;"")</f>
        <v/>
      </c>
      <c r="E2416" s="168" t="str">
        <f ca="1">IF(ISERROR($S2416),"",OFFSET('Smelter Reference List'!$D$4,$S2416-4,0)&amp;"")</f>
        <v/>
      </c>
      <c r="F2416" s="168" t="str">
        <f ca="1">IF(ISERROR($S2416),"",OFFSET('Smelter Reference List'!$E$4,$S2416-4,0))</f>
        <v/>
      </c>
      <c r="G2416" s="168" t="str">
        <f ca="1">IF(C2416=$U$4,"Enter smelter details", IF(ISERROR($S2416),"",OFFSET('Smelter Reference List'!$F$4,$S2416-4,0)))</f>
        <v/>
      </c>
      <c r="H2416" s="292" t="str">
        <f ca="1">IF(ISERROR($S2416),"",OFFSET('Smelter Reference List'!$G$4,$S2416-4,0))</f>
        <v/>
      </c>
      <c r="I2416" s="293" t="str">
        <f ca="1">IF(ISERROR($S2416),"",OFFSET('Smelter Reference List'!$H$4,$S2416-4,0))</f>
        <v/>
      </c>
      <c r="J2416" s="293" t="str">
        <f ca="1">IF(ISERROR($S2416),"",OFFSET('Smelter Reference List'!$I$4,$S2416-4,0))</f>
        <v/>
      </c>
      <c r="K2416" s="290"/>
      <c r="L2416" s="290"/>
      <c r="M2416" s="290"/>
      <c r="N2416" s="290"/>
      <c r="O2416" s="290"/>
      <c r="P2416" s="290"/>
      <c r="Q2416" s="291"/>
      <c r="R2416" s="276"/>
      <c r="S2416" s="277" t="e">
        <f>IF(OR(C2416="",C2416=T$4),NA(),MATCH($B2416&amp;$C2416,'Smelter Reference List'!$J:$J,0))</f>
        <v>#N/A</v>
      </c>
      <c r="T2416" s="278"/>
      <c r="U2416" s="278"/>
      <c r="V2416" s="278"/>
      <c r="W2416" s="278"/>
    </row>
    <row r="2417" spans="1:23" s="269" customFormat="1" ht="20.25">
      <c r="A2417" s="267"/>
      <c r="B2417" s="275"/>
      <c r="C2417" s="275"/>
      <c r="D2417" s="168" t="str">
        <f ca="1">IF(ISERROR($S2417),"",OFFSET('Smelter Reference List'!$C$4,$S2417-4,0)&amp;"")</f>
        <v/>
      </c>
      <c r="E2417" s="168" t="str">
        <f ca="1">IF(ISERROR($S2417),"",OFFSET('Smelter Reference List'!$D$4,$S2417-4,0)&amp;"")</f>
        <v/>
      </c>
      <c r="F2417" s="168" t="str">
        <f ca="1">IF(ISERROR($S2417),"",OFFSET('Smelter Reference List'!$E$4,$S2417-4,0))</f>
        <v/>
      </c>
      <c r="G2417" s="168" t="str">
        <f ca="1">IF(C2417=$U$4,"Enter smelter details", IF(ISERROR($S2417),"",OFFSET('Smelter Reference List'!$F$4,$S2417-4,0)))</f>
        <v/>
      </c>
      <c r="H2417" s="292" t="str">
        <f ca="1">IF(ISERROR($S2417),"",OFFSET('Smelter Reference List'!$G$4,$S2417-4,0))</f>
        <v/>
      </c>
      <c r="I2417" s="293" t="str">
        <f ca="1">IF(ISERROR($S2417),"",OFFSET('Smelter Reference List'!$H$4,$S2417-4,0))</f>
        <v/>
      </c>
      <c r="J2417" s="293" t="str">
        <f ca="1">IF(ISERROR($S2417),"",OFFSET('Smelter Reference List'!$I$4,$S2417-4,0))</f>
        <v/>
      </c>
      <c r="K2417" s="290"/>
      <c r="L2417" s="290"/>
      <c r="M2417" s="290"/>
      <c r="N2417" s="290"/>
      <c r="O2417" s="290"/>
      <c r="P2417" s="290"/>
      <c r="Q2417" s="291"/>
      <c r="R2417" s="276"/>
      <c r="S2417" s="277" t="e">
        <f>IF(OR(C2417="",C2417=T$4),NA(),MATCH($B2417&amp;$C2417,'Smelter Reference List'!$J:$J,0))</f>
        <v>#N/A</v>
      </c>
      <c r="T2417" s="278"/>
      <c r="U2417" s="278"/>
      <c r="V2417" s="278"/>
      <c r="W2417" s="278"/>
    </row>
    <row r="2418" spans="1:23" s="269" customFormat="1" ht="20.25">
      <c r="A2418" s="267"/>
      <c r="B2418" s="275"/>
      <c r="C2418" s="275"/>
      <c r="D2418" s="168" t="str">
        <f ca="1">IF(ISERROR($S2418),"",OFFSET('Smelter Reference List'!$C$4,$S2418-4,0)&amp;"")</f>
        <v/>
      </c>
      <c r="E2418" s="168" t="str">
        <f ca="1">IF(ISERROR($S2418),"",OFFSET('Smelter Reference List'!$D$4,$S2418-4,0)&amp;"")</f>
        <v/>
      </c>
      <c r="F2418" s="168" t="str">
        <f ca="1">IF(ISERROR($S2418),"",OFFSET('Smelter Reference List'!$E$4,$S2418-4,0))</f>
        <v/>
      </c>
      <c r="G2418" s="168" t="str">
        <f ca="1">IF(C2418=$U$4,"Enter smelter details", IF(ISERROR($S2418),"",OFFSET('Smelter Reference List'!$F$4,$S2418-4,0)))</f>
        <v/>
      </c>
      <c r="H2418" s="292" t="str">
        <f ca="1">IF(ISERROR($S2418),"",OFFSET('Smelter Reference List'!$G$4,$S2418-4,0))</f>
        <v/>
      </c>
      <c r="I2418" s="293" t="str">
        <f ca="1">IF(ISERROR($S2418),"",OFFSET('Smelter Reference List'!$H$4,$S2418-4,0))</f>
        <v/>
      </c>
      <c r="J2418" s="293" t="str">
        <f ca="1">IF(ISERROR($S2418),"",OFFSET('Smelter Reference List'!$I$4,$S2418-4,0))</f>
        <v/>
      </c>
      <c r="K2418" s="290"/>
      <c r="L2418" s="290"/>
      <c r="M2418" s="290"/>
      <c r="N2418" s="290"/>
      <c r="O2418" s="290"/>
      <c r="P2418" s="290"/>
      <c r="Q2418" s="291"/>
      <c r="R2418" s="276"/>
      <c r="S2418" s="277" t="e">
        <f>IF(OR(C2418="",C2418=T$4),NA(),MATCH($B2418&amp;$C2418,'Smelter Reference List'!$J:$J,0))</f>
        <v>#N/A</v>
      </c>
      <c r="T2418" s="278"/>
      <c r="U2418" s="278"/>
      <c r="V2418" s="278"/>
      <c r="W2418" s="278"/>
    </row>
    <row r="2419" spans="1:23" s="269" customFormat="1" ht="20.25">
      <c r="A2419" s="267"/>
      <c r="B2419" s="275"/>
      <c r="C2419" s="275"/>
      <c r="D2419" s="168" t="str">
        <f ca="1">IF(ISERROR($S2419),"",OFFSET('Smelter Reference List'!$C$4,$S2419-4,0)&amp;"")</f>
        <v/>
      </c>
      <c r="E2419" s="168" t="str">
        <f ca="1">IF(ISERROR($S2419),"",OFFSET('Smelter Reference List'!$D$4,$S2419-4,0)&amp;"")</f>
        <v/>
      </c>
      <c r="F2419" s="168" t="str">
        <f ca="1">IF(ISERROR($S2419),"",OFFSET('Smelter Reference List'!$E$4,$S2419-4,0))</f>
        <v/>
      </c>
      <c r="G2419" s="168" t="str">
        <f ca="1">IF(C2419=$U$4,"Enter smelter details", IF(ISERROR($S2419),"",OFFSET('Smelter Reference List'!$F$4,$S2419-4,0)))</f>
        <v/>
      </c>
      <c r="H2419" s="292" t="str">
        <f ca="1">IF(ISERROR($S2419),"",OFFSET('Smelter Reference List'!$G$4,$S2419-4,0))</f>
        <v/>
      </c>
      <c r="I2419" s="293" t="str">
        <f ca="1">IF(ISERROR($S2419),"",OFFSET('Smelter Reference List'!$H$4,$S2419-4,0))</f>
        <v/>
      </c>
      <c r="J2419" s="293" t="str">
        <f ca="1">IF(ISERROR($S2419),"",OFFSET('Smelter Reference List'!$I$4,$S2419-4,0))</f>
        <v/>
      </c>
      <c r="K2419" s="290"/>
      <c r="L2419" s="290"/>
      <c r="M2419" s="290"/>
      <c r="N2419" s="290"/>
      <c r="O2419" s="290"/>
      <c r="P2419" s="290"/>
      <c r="Q2419" s="291"/>
      <c r="R2419" s="276"/>
      <c r="S2419" s="277" t="e">
        <f>IF(OR(C2419="",C2419=T$4),NA(),MATCH($B2419&amp;$C2419,'Smelter Reference List'!$J:$J,0))</f>
        <v>#N/A</v>
      </c>
      <c r="T2419" s="278"/>
      <c r="U2419" s="278"/>
      <c r="V2419" s="278"/>
      <c r="W2419" s="278"/>
    </row>
    <row r="2420" spans="1:23" s="269" customFormat="1" ht="20.25">
      <c r="A2420" s="267"/>
      <c r="B2420" s="275"/>
      <c r="C2420" s="275"/>
      <c r="D2420" s="168" t="str">
        <f ca="1">IF(ISERROR($S2420),"",OFFSET('Smelter Reference List'!$C$4,$S2420-4,0)&amp;"")</f>
        <v/>
      </c>
      <c r="E2420" s="168" t="str">
        <f ca="1">IF(ISERROR($S2420),"",OFFSET('Smelter Reference List'!$D$4,$S2420-4,0)&amp;"")</f>
        <v/>
      </c>
      <c r="F2420" s="168" t="str">
        <f ca="1">IF(ISERROR($S2420),"",OFFSET('Smelter Reference List'!$E$4,$S2420-4,0))</f>
        <v/>
      </c>
      <c r="G2420" s="168" t="str">
        <f ca="1">IF(C2420=$U$4,"Enter smelter details", IF(ISERROR($S2420),"",OFFSET('Smelter Reference List'!$F$4,$S2420-4,0)))</f>
        <v/>
      </c>
      <c r="H2420" s="292" t="str">
        <f ca="1">IF(ISERROR($S2420),"",OFFSET('Smelter Reference List'!$G$4,$S2420-4,0))</f>
        <v/>
      </c>
      <c r="I2420" s="293" t="str">
        <f ca="1">IF(ISERROR($S2420),"",OFFSET('Smelter Reference List'!$H$4,$S2420-4,0))</f>
        <v/>
      </c>
      <c r="J2420" s="293" t="str">
        <f ca="1">IF(ISERROR($S2420),"",OFFSET('Smelter Reference List'!$I$4,$S2420-4,0))</f>
        <v/>
      </c>
      <c r="K2420" s="290"/>
      <c r="L2420" s="290"/>
      <c r="M2420" s="290"/>
      <c r="N2420" s="290"/>
      <c r="O2420" s="290"/>
      <c r="P2420" s="290"/>
      <c r="Q2420" s="291"/>
      <c r="R2420" s="276"/>
      <c r="S2420" s="277" t="e">
        <f>IF(OR(C2420="",C2420=T$4),NA(),MATCH($B2420&amp;$C2420,'Smelter Reference List'!$J:$J,0))</f>
        <v>#N/A</v>
      </c>
      <c r="T2420" s="278"/>
      <c r="U2420" s="278"/>
      <c r="V2420" s="278"/>
      <c r="W2420" s="278"/>
    </row>
    <row r="2421" spans="1:23" s="269" customFormat="1" ht="20.25">
      <c r="A2421" s="267"/>
      <c r="B2421" s="275"/>
      <c r="C2421" s="275"/>
      <c r="D2421" s="168" t="str">
        <f ca="1">IF(ISERROR($S2421),"",OFFSET('Smelter Reference List'!$C$4,$S2421-4,0)&amp;"")</f>
        <v/>
      </c>
      <c r="E2421" s="168" t="str">
        <f ca="1">IF(ISERROR($S2421),"",OFFSET('Smelter Reference List'!$D$4,$S2421-4,0)&amp;"")</f>
        <v/>
      </c>
      <c r="F2421" s="168" t="str">
        <f ca="1">IF(ISERROR($S2421),"",OFFSET('Smelter Reference List'!$E$4,$S2421-4,0))</f>
        <v/>
      </c>
      <c r="G2421" s="168" t="str">
        <f ca="1">IF(C2421=$U$4,"Enter smelter details", IF(ISERROR($S2421),"",OFFSET('Smelter Reference List'!$F$4,$S2421-4,0)))</f>
        <v/>
      </c>
      <c r="H2421" s="292" t="str">
        <f ca="1">IF(ISERROR($S2421),"",OFFSET('Smelter Reference List'!$G$4,$S2421-4,0))</f>
        <v/>
      </c>
      <c r="I2421" s="293" t="str">
        <f ca="1">IF(ISERROR($S2421),"",OFFSET('Smelter Reference List'!$H$4,$S2421-4,0))</f>
        <v/>
      </c>
      <c r="J2421" s="293" t="str">
        <f ca="1">IF(ISERROR($S2421),"",OFFSET('Smelter Reference List'!$I$4,$S2421-4,0))</f>
        <v/>
      </c>
      <c r="K2421" s="290"/>
      <c r="L2421" s="290"/>
      <c r="M2421" s="290"/>
      <c r="N2421" s="290"/>
      <c r="O2421" s="290"/>
      <c r="P2421" s="290"/>
      <c r="Q2421" s="291"/>
      <c r="R2421" s="276"/>
      <c r="S2421" s="277" t="e">
        <f>IF(OR(C2421="",C2421=T$4),NA(),MATCH($B2421&amp;$C2421,'Smelter Reference List'!$J:$J,0))</f>
        <v>#N/A</v>
      </c>
      <c r="T2421" s="278"/>
      <c r="U2421" s="278"/>
      <c r="V2421" s="278"/>
      <c r="W2421" s="278"/>
    </row>
    <row r="2422" spans="1:23" s="269" customFormat="1" ht="20.25">
      <c r="A2422" s="267"/>
      <c r="B2422" s="275"/>
      <c r="C2422" s="275"/>
      <c r="D2422" s="168" t="str">
        <f ca="1">IF(ISERROR($S2422),"",OFFSET('Smelter Reference List'!$C$4,$S2422-4,0)&amp;"")</f>
        <v/>
      </c>
      <c r="E2422" s="168" t="str">
        <f ca="1">IF(ISERROR($S2422),"",OFFSET('Smelter Reference List'!$D$4,$S2422-4,0)&amp;"")</f>
        <v/>
      </c>
      <c r="F2422" s="168" t="str">
        <f ca="1">IF(ISERROR($S2422),"",OFFSET('Smelter Reference List'!$E$4,$S2422-4,0))</f>
        <v/>
      </c>
      <c r="G2422" s="168" t="str">
        <f ca="1">IF(C2422=$U$4,"Enter smelter details", IF(ISERROR($S2422),"",OFFSET('Smelter Reference List'!$F$4,$S2422-4,0)))</f>
        <v/>
      </c>
      <c r="H2422" s="292" t="str">
        <f ca="1">IF(ISERROR($S2422),"",OFFSET('Smelter Reference List'!$G$4,$S2422-4,0))</f>
        <v/>
      </c>
      <c r="I2422" s="293" t="str">
        <f ca="1">IF(ISERROR($S2422),"",OFFSET('Smelter Reference List'!$H$4,$S2422-4,0))</f>
        <v/>
      </c>
      <c r="J2422" s="293" t="str">
        <f ca="1">IF(ISERROR($S2422),"",OFFSET('Smelter Reference List'!$I$4,$S2422-4,0))</f>
        <v/>
      </c>
      <c r="K2422" s="290"/>
      <c r="L2422" s="290"/>
      <c r="M2422" s="290"/>
      <c r="N2422" s="290"/>
      <c r="O2422" s="290"/>
      <c r="P2422" s="290"/>
      <c r="Q2422" s="291"/>
      <c r="R2422" s="276"/>
      <c r="S2422" s="277" t="e">
        <f>IF(OR(C2422="",C2422=T$4),NA(),MATCH($B2422&amp;$C2422,'Smelter Reference List'!$J:$J,0))</f>
        <v>#N/A</v>
      </c>
      <c r="T2422" s="278"/>
      <c r="U2422" s="278"/>
      <c r="V2422" s="278"/>
      <c r="W2422" s="278"/>
    </row>
    <row r="2423" spans="1:23" s="269" customFormat="1" ht="20.25">
      <c r="A2423" s="267"/>
      <c r="B2423" s="275"/>
      <c r="C2423" s="275"/>
      <c r="D2423" s="168" t="str">
        <f ca="1">IF(ISERROR($S2423),"",OFFSET('Smelter Reference List'!$C$4,$S2423-4,0)&amp;"")</f>
        <v/>
      </c>
      <c r="E2423" s="168" t="str">
        <f ca="1">IF(ISERROR($S2423),"",OFFSET('Smelter Reference List'!$D$4,$S2423-4,0)&amp;"")</f>
        <v/>
      </c>
      <c r="F2423" s="168" t="str">
        <f ca="1">IF(ISERROR($S2423),"",OFFSET('Smelter Reference List'!$E$4,$S2423-4,0))</f>
        <v/>
      </c>
      <c r="G2423" s="168" t="str">
        <f ca="1">IF(C2423=$U$4,"Enter smelter details", IF(ISERROR($S2423),"",OFFSET('Smelter Reference List'!$F$4,$S2423-4,0)))</f>
        <v/>
      </c>
      <c r="H2423" s="292" t="str">
        <f ca="1">IF(ISERROR($S2423),"",OFFSET('Smelter Reference List'!$G$4,$S2423-4,0))</f>
        <v/>
      </c>
      <c r="I2423" s="293" t="str">
        <f ca="1">IF(ISERROR($S2423),"",OFFSET('Smelter Reference List'!$H$4,$S2423-4,0))</f>
        <v/>
      </c>
      <c r="J2423" s="293" t="str">
        <f ca="1">IF(ISERROR($S2423),"",OFFSET('Smelter Reference List'!$I$4,$S2423-4,0))</f>
        <v/>
      </c>
      <c r="K2423" s="290"/>
      <c r="L2423" s="290"/>
      <c r="M2423" s="290"/>
      <c r="N2423" s="290"/>
      <c r="O2423" s="290"/>
      <c r="P2423" s="290"/>
      <c r="Q2423" s="291"/>
      <c r="R2423" s="276"/>
      <c r="S2423" s="277" t="e">
        <f>IF(OR(C2423="",C2423=T$4),NA(),MATCH($B2423&amp;$C2423,'Smelter Reference List'!$J:$J,0))</f>
        <v>#N/A</v>
      </c>
      <c r="T2423" s="278"/>
      <c r="U2423" s="278"/>
      <c r="V2423" s="278"/>
      <c r="W2423" s="278"/>
    </row>
    <row r="2424" spans="1:23" s="269" customFormat="1" ht="20.25">
      <c r="A2424" s="268"/>
      <c r="B2424" s="275"/>
      <c r="C2424" s="275"/>
      <c r="D2424" s="168" t="str">
        <f ca="1">IF(ISERROR($S2424),"",OFFSET('Smelter Reference List'!$C$4,$S2424-4,0)&amp;"")</f>
        <v/>
      </c>
      <c r="E2424" s="168" t="str">
        <f ca="1">IF(ISERROR($S2424),"",OFFSET('Smelter Reference List'!$D$4,$S2424-4,0)&amp;"")</f>
        <v/>
      </c>
      <c r="F2424" s="168" t="str">
        <f ca="1">IF(ISERROR($S2424),"",OFFSET('Smelter Reference List'!$E$4,$S2424-4,0))</f>
        <v/>
      </c>
      <c r="G2424" s="168" t="str">
        <f ca="1">IF(C2424=$U$4,"Enter smelter details", IF(ISERROR($S2424),"",OFFSET('Smelter Reference List'!$F$4,$S2424-4,0)))</f>
        <v/>
      </c>
      <c r="H2424" s="292" t="str">
        <f ca="1">IF(ISERROR($S2424),"",OFFSET('Smelter Reference List'!$G$4,$S2424-4,0))</f>
        <v/>
      </c>
      <c r="I2424" s="293" t="str">
        <f ca="1">IF(ISERROR($S2424),"",OFFSET('Smelter Reference List'!$H$4,$S2424-4,0))</f>
        <v/>
      </c>
      <c r="J2424" s="293" t="str">
        <f ca="1">IF(ISERROR($S2424),"",OFFSET('Smelter Reference List'!$I$4,$S2424-4,0))</f>
        <v/>
      </c>
      <c r="K2424" s="290"/>
      <c r="L2424" s="290"/>
      <c r="M2424" s="290"/>
      <c r="N2424" s="290"/>
      <c r="O2424" s="290"/>
      <c r="P2424" s="290"/>
      <c r="Q2424" s="291"/>
      <c r="R2424" s="276"/>
      <c r="S2424" s="277" t="e">
        <f>IF(OR(C2424="",C2424=T$4),NA(),MATCH($B2424&amp;$C2424,'Smelter Reference List'!$J:$J,0))</f>
        <v>#N/A</v>
      </c>
      <c r="T2424" s="278"/>
      <c r="U2424" s="278"/>
      <c r="V2424" s="278"/>
      <c r="W2424" s="278"/>
    </row>
    <row r="2425" spans="1:23" ht="13.5" thickBot="1">
      <c r="A2425" s="289"/>
      <c r="B2425" s="241"/>
      <c r="C2425" s="241"/>
      <c r="D2425" s="241"/>
      <c r="E2425" s="241"/>
      <c r="F2425" s="241"/>
      <c r="G2425" s="241"/>
      <c r="H2425" s="241"/>
      <c r="I2425" s="241"/>
      <c r="J2425" s="241"/>
      <c r="K2425" s="241"/>
      <c r="L2425" s="241"/>
      <c r="M2425" s="241"/>
      <c r="N2425" s="241"/>
      <c r="O2425" s="241"/>
      <c r="P2425" s="241"/>
      <c r="Q2425" s="242"/>
      <c r="R2425" s="239"/>
      <c r="S2425" s="239"/>
    </row>
    <row r="2426" spans="1:23" ht="13.5" thickTop="1">
      <c r="R2426" s="240"/>
      <c r="S2426" s="240"/>
      <c r="T2426" s="240"/>
      <c r="U2426" s="240"/>
      <c r="V2426" s="240"/>
      <c r="W2426" s="240"/>
    </row>
    <row r="2427" spans="1:23">
      <c r="R2427" s="240"/>
      <c r="S2427" s="240"/>
      <c r="T2427" s="240"/>
      <c r="U2427" s="240"/>
      <c r="V2427" s="240"/>
      <c r="W2427" s="240"/>
    </row>
    <row r="2428" spans="1:23">
      <c r="R2428" s="240"/>
      <c r="S2428" s="240"/>
      <c r="T2428" s="240"/>
      <c r="U2428" s="240"/>
      <c r="V2428" s="240"/>
      <c r="W2428" s="240"/>
    </row>
  </sheetData>
  <sheetProtection password="E815" sheet="1" formatColumns="0" formatRows="0" deleteRows="0"/>
  <dataConsolidate/>
  <mergeCells count="2">
    <mergeCell ref="J2:O2"/>
    <mergeCell ref="B2:D3"/>
  </mergeCells>
  <phoneticPr fontId="31"/>
  <conditionalFormatting sqref="B5:B2424">
    <cfRule type="expression" dxfId="59" priority="46" stopIfTrue="1">
      <formula>IF(B5="",TRUE)</formula>
    </cfRule>
    <cfRule type="expression" dxfId="58" priority="57" stopIfTrue="1">
      <formula>IF(AND(COUNTIF(MetalSmelter,B5&amp;C5)=0,LEN(C5)&gt;0), TRUE, FALSE)</formula>
    </cfRule>
  </conditionalFormatting>
  <conditionalFormatting sqref="C5:C2424">
    <cfRule type="expression" dxfId="57" priority="58" stopIfTrue="1">
      <formula>IF(AND(B5&lt;&gt;"",C5=""),TRUE)</formula>
    </cfRule>
  </conditionalFormatting>
  <conditionalFormatting sqref="D2309:E2424">
    <cfRule type="expression" dxfId="56" priority="65" stopIfTrue="1">
      <formula>IF(AND(D2309="",$C2309=$U$4),TRUE)</formula>
    </cfRule>
    <cfRule type="expression" dxfId="55" priority="66" stopIfTrue="1">
      <formula>IF(FIND("!",D2309),TRUE)</formula>
    </cfRule>
  </conditionalFormatting>
  <conditionalFormatting sqref="F645:F653 F889:F915 F1700:F2085 G5:G2424 F2213:F2252">
    <cfRule type="expression" dxfId="54" priority="67" stopIfTrue="1">
      <formula>IF(FIND("Enter smelter details",F5),TRUE)</formula>
    </cfRule>
  </conditionalFormatting>
  <conditionalFormatting sqref="D5:E18 E19 D20:E998 E999 D1000:E2308">
    <cfRule type="expression" dxfId="53" priority="44" stopIfTrue="1">
      <formula>IF(AND(D5="",$D5=$U$4),TRUE)</formula>
    </cfRule>
    <cfRule type="expression" dxfId="52" priority="45" stopIfTrue="1">
      <formula>IF(FIND("!",D5),TRUE)</formula>
    </cfRule>
  </conditionalFormatting>
  <conditionalFormatting sqref="F103:F137">
    <cfRule type="expression" dxfId="51" priority="39" stopIfTrue="1">
      <formula>IF(FIND("Enter smelter details",F103),TRUE)</formula>
    </cfRule>
  </conditionalFormatting>
  <conditionalFormatting sqref="F139:F140">
    <cfRule type="expression" dxfId="50" priority="38" stopIfTrue="1">
      <formula>IF(FIND("Enter smelter details",F139),TRUE)</formula>
    </cfRule>
  </conditionalFormatting>
  <conditionalFormatting sqref="F142:F150">
    <cfRule type="expression" dxfId="49" priority="37" stopIfTrue="1">
      <formula>IF(FIND("Enter smelter details",F142),TRUE)</formula>
    </cfRule>
  </conditionalFormatting>
  <conditionalFormatting sqref="F152:F182">
    <cfRule type="expression" dxfId="48" priority="36" stopIfTrue="1">
      <formula>IF(FIND("Enter smelter details",F152),TRUE)</formula>
    </cfRule>
  </conditionalFormatting>
  <conditionalFormatting sqref="F184:F558">
    <cfRule type="expression" dxfId="47" priority="35" stopIfTrue="1">
      <formula>IF(FIND("Enter smelter details",F184),TRUE)</formula>
    </cfRule>
  </conditionalFormatting>
  <conditionalFormatting sqref="F560:F613">
    <cfRule type="expression" dxfId="46" priority="34" stopIfTrue="1">
      <formula>IF(FIND("Enter smelter details",F560),TRUE)</formula>
    </cfRule>
  </conditionalFormatting>
  <conditionalFormatting sqref="F615:F644">
    <cfRule type="expression" dxfId="45" priority="33" stopIfTrue="1">
      <formula>IF(FIND("Enter smelter details",F615),TRUE)</formula>
    </cfRule>
  </conditionalFormatting>
  <conditionalFormatting sqref="F655:F668">
    <cfRule type="expression" dxfId="44" priority="31" stopIfTrue="1">
      <formula>IF(FIND("Enter smelter details",F655),TRUE)</formula>
    </cfRule>
  </conditionalFormatting>
  <conditionalFormatting sqref="F670:F742">
    <cfRule type="expression" dxfId="43" priority="30" stopIfTrue="1">
      <formula>IF(FIND("Enter smelter details",F670),TRUE)</formula>
    </cfRule>
  </conditionalFormatting>
  <conditionalFormatting sqref="F744:F790">
    <cfRule type="expression" dxfId="42" priority="29" stopIfTrue="1">
      <formula>IF(FIND("Enter smelter details",F744),TRUE)</formula>
    </cfRule>
  </conditionalFormatting>
  <conditionalFormatting sqref="F842:F849">
    <cfRule type="expression" dxfId="41" priority="28" stopIfTrue="1">
      <formula>IF(FIND("Enter smelter details",F842),TRUE)</formula>
    </cfRule>
  </conditionalFormatting>
  <conditionalFormatting sqref="F851">
    <cfRule type="expression" dxfId="40" priority="27" stopIfTrue="1">
      <formula>IF(FIND("Enter smelter details",F851),TRUE)</formula>
    </cfRule>
  </conditionalFormatting>
  <conditionalFormatting sqref="F853:F867">
    <cfRule type="expression" dxfId="39" priority="26" stopIfTrue="1">
      <formula>IF(FIND("Enter smelter details",F853),TRUE)</formula>
    </cfRule>
  </conditionalFormatting>
  <conditionalFormatting sqref="F869:F877">
    <cfRule type="expression" dxfId="38" priority="25" stopIfTrue="1">
      <formula>IF(FIND("Enter smelter details",F869),TRUE)</formula>
    </cfRule>
  </conditionalFormatting>
  <conditionalFormatting sqref="F879:F883">
    <cfRule type="expression" dxfId="37" priority="24" stopIfTrue="1">
      <formula>IF(FIND("Enter smelter details",F879),TRUE)</formula>
    </cfRule>
  </conditionalFormatting>
  <conditionalFormatting sqref="F885:F887">
    <cfRule type="expression" dxfId="36" priority="23" stopIfTrue="1">
      <formula>IF(FIND("Enter smelter details",F885),TRUE)</formula>
    </cfRule>
  </conditionalFormatting>
  <conditionalFormatting sqref="F917:F922">
    <cfRule type="expression" dxfId="35" priority="21" stopIfTrue="1">
      <formula>IF(FIND("Enter smelter details",F917),TRUE)</formula>
    </cfRule>
  </conditionalFormatting>
  <conditionalFormatting sqref="F924:F932">
    <cfRule type="expression" dxfId="34" priority="20" stopIfTrue="1">
      <formula>IF(FIND("Enter smelter details",F924),TRUE)</formula>
    </cfRule>
  </conditionalFormatting>
  <conditionalFormatting sqref="F936:F947">
    <cfRule type="expression" dxfId="33" priority="19" stopIfTrue="1">
      <formula>IF(FIND("Enter smelter details",F936),TRUE)</formula>
    </cfRule>
  </conditionalFormatting>
  <conditionalFormatting sqref="F1028:F1083">
    <cfRule type="expression" dxfId="32" priority="18" stopIfTrue="1">
      <formula>IF(FIND("Enter smelter details",F1028),TRUE)</formula>
    </cfRule>
  </conditionalFormatting>
  <conditionalFormatting sqref="F1085:F1320">
    <cfRule type="expression" dxfId="31" priority="17" stopIfTrue="1">
      <formula>IF(FIND("Enter smelter details",F1085),TRUE)</formula>
    </cfRule>
  </conditionalFormatting>
  <conditionalFormatting sqref="F1322:F1522">
    <cfRule type="expression" dxfId="30" priority="16" stopIfTrue="1">
      <formula>IF(FIND("Enter smelter details",F1322),TRUE)</formula>
    </cfRule>
  </conditionalFormatting>
  <conditionalFormatting sqref="F1523:F1643">
    <cfRule type="expression" dxfId="29" priority="15" stopIfTrue="1">
      <formula>IF(FIND("Enter smelter details",F1523),TRUE)</formula>
    </cfRule>
  </conditionalFormatting>
  <conditionalFormatting sqref="F1645:F1675">
    <cfRule type="expression" dxfId="28" priority="14" stopIfTrue="1">
      <formula>IF(FIND("Enter smelter details",F1645),TRUE)</formula>
    </cfRule>
  </conditionalFormatting>
  <conditionalFormatting sqref="F1677:F1682">
    <cfRule type="expression" dxfId="27" priority="13" stopIfTrue="1">
      <formula>IF(FIND("Enter smelter details",F1677),TRUE)</formula>
    </cfRule>
  </conditionalFormatting>
  <conditionalFormatting sqref="F1685:F1686">
    <cfRule type="expression" dxfId="26" priority="12" stopIfTrue="1">
      <formula>IF(FIND("Enter smelter details",F1685),TRUE)</formula>
    </cfRule>
  </conditionalFormatting>
  <conditionalFormatting sqref="F1688:F1693">
    <cfRule type="expression" dxfId="25" priority="11" stopIfTrue="1">
      <formula>IF(FIND("Enter smelter details",F1688),TRUE)</formula>
    </cfRule>
  </conditionalFormatting>
  <conditionalFormatting sqref="F1695:F1696">
    <cfRule type="expression" dxfId="24" priority="10" stopIfTrue="1">
      <formula>IF(FIND("Enter smelter details",F1695),TRUE)</formula>
    </cfRule>
  </conditionalFormatting>
  <conditionalFormatting sqref="F2127:F2176">
    <cfRule type="expression" dxfId="23" priority="8" stopIfTrue="1">
      <formula>IF(FIND("Enter smelter details",F2127),TRUE)</formula>
    </cfRule>
  </conditionalFormatting>
  <conditionalFormatting sqref="F2178:F2203">
    <cfRule type="expression" dxfId="22" priority="7" stopIfTrue="1">
      <formula>IF(FIND("Enter smelter details",F2178),TRUE)</formula>
    </cfRule>
  </conditionalFormatting>
  <conditionalFormatting sqref="F2205:F2211">
    <cfRule type="expression" dxfId="21" priority="6" stopIfTrue="1">
      <formula>IF(FIND("Enter smelter details",F2205),TRUE)</formula>
    </cfRule>
  </conditionalFormatting>
  <conditionalFormatting sqref="F2254:F2304">
    <cfRule type="expression" dxfId="20" priority="4" stopIfTrue="1">
      <formula>IF(FIND("Enter smelter details",F2254),TRUE)</formula>
    </cfRule>
  </conditionalFormatting>
  <conditionalFormatting sqref="F836:F838">
    <cfRule type="expression" dxfId="19" priority="3" stopIfTrue="1">
      <formula>IF(FIND("Enter smelter details",F836),TRUE)</formula>
    </cfRule>
  </conditionalFormatting>
  <conditionalFormatting sqref="D19">
    <cfRule type="expression" dxfId="18" priority="2" stopIfTrue="1">
      <formula>IF(AND(C19&lt;&gt;"",D19=""),TRUE)</formula>
    </cfRule>
  </conditionalFormatting>
  <conditionalFormatting sqref="D999">
    <cfRule type="expression" dxfId="17" priority="1" stopIfTrue="1">
      <formula>IF(AND(C999&lt;&gt;"",D999=""),TRUE)</formula>
    </cfRule>
  </conditionalFormatting>
  <dataValidations count="5">
    <dataValidation type="list" allowBlank="1" showInputMessage="1" showErrorMessage="1" sqref="B5:B2424">
      <formula1>Metal</formula1>
    </dataValidation>
    <dataValidation type="list" allowBlank="1" showInputMessage="1" showErrorMessage="1" sqref="P5:P2424">
      <formula1>"Yes,No"</formula1>
    </dataValidation>
    <dataValidation type="list" showErrorMessage="1" promptTitle="Dropdown field" prompt="Select from dropdown.  Do not enter free form text in this column" sqref="C5:C2424">
      <formula1>SN</formula1>
    </dataValidation>
    <dataValidation allowBlank="1" showErrorMessage="1" sqref="F5:G2424"/>
    <dataValidation type="list" allowBlank="1" showInputMessage="1" showErrorMessage="1" sqref="E5:E2424">
      <formula1>CL</formula1>
    </dataValidation>
  </dataValidations>
  <hyperlinks>
    <hyperlink ref="J2:O2" r:id="rId1" display="http://www.conflictfreesourcing.org/"/>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M69"/>
  <sheetViews>
    <sheetView showGridLines="0" showZeros="0" zoomScale="70" zoomScaleNormal="60" workbookViewId="0">
      <pane xSplit="1" ySplit="3" topLeftCell="B70" activePane="bottomRight" state="frozen"/>
      <selection pane="topRight" activeCell="B1" sqref="B1"/>
      <selection pane="bottomLeft" activeCell="A4" sqref="A4"/>
      <selection pane="bottomRight" activeCell="B52" sqref="B52"/>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45" hidden="1" customWidth="1"/>
    <col min="10" max="11" width="9" style="22" hidden="1" customWidth="1"/>
    <col min="12" max="13" width="8.75" style="22" hidden="1" customWidth="1"/>
    <col min="14" max="16384" width="8.75" style="22"/>
  </cols>
  <sheetData>
    <row r="1" spans="1:10" ht="30">
      <c r="A1" s="394" t="str">
        <f ca="1">OFFSET(L!$C$1,MATCH("Checker"&amp;ADDRESS(ROW(),COLUMN(),4),L!$A:$A,0)-1,SL,,)</f>
        <v>To ensure all required fields have been populated before submitting to your customers review form for any line items highlighted in red</v>
      </c>
      <c r="B1" s="394"/>
      <c r="C1" s="394"/>
      <c r="D1" s="171" t="str">
        <f ca="1">OFFSET(L!$C$1,MATCH("Checker"&amp;ADDRESS(ROW(),COLUMN(),4),L!$A:$A,0)-1,SL,,)</f>
        <v>Required fields remaining to be completed</v>
      </c>
      <c r="E1" s="100" t="s">
        <v>1556</v>
      </c>
    </row>
    <row r="2" spans="1:10" ht="15">
      <c r="A2" s="93" t="s">
        <v>1887</v>
      </c>
      <c r="B2" s="94" t="str">
        <f>IF(F62=1,"Click here to return to Smelter List","")</f>
        <v>Click here to return to Smelter List</v>
      </c>
      <c r="C2" s="175" t="str">
        <f>IF(F61=1,"Click here to return to Product List","")</f>
        <v/>
      </c>
      <c r="D2" s="250" t="str">
        <f>IF(H66=0,"0",H66)</f>
        <v>0</v>
      </c>
    </row>
    <row r="3" spans="1:10" ht="15">
      <c r="A3" s="95" t="str">
        <f ca="1">OFFSET(L!$C$1,MATCH("Checker"&amp;ADDRESS(ROW(),COLUMN(),4),L!$A:$A,0)-1,SL,,)</f>
        <v>Required Fields</v>
      </c>
      <c r="B3" s="95" t="str">
        <f ca="1">OFFSET(L!$C$1,MATCH("Checker"&amp;ADDRESS(ROW(),COLUMN(),4),L!$A:$A,0)-1,SL,,)</f>
        <v>Answer provided</v>
      </c>
      <c r="C3" s="95" t="str">
        <f ca="1">OFFSET(L!$C$1,MATCH("Checker"&amp;ADDRESS(ROW(),COLUMN(),4),L!$A:$A,0)-1,SL,,)</f>
        <v>Notes</v>
      </c>
      <c r="D3" s="95" t="str">
        <f ca="1">OFFSET(L!$C$1,MATCH("Checker"&amp;ADDRESS(ROW(),COLUMN(),4),L!$A:$A,0)-1,SL,,)</f>
        <v>Hyperlink to source</v>
      </c>
      <c r="F3" s="96" t="s">
        <v>1044</v>
      </c>
      <c r="G3" s="22" t="s">
        <v>1043</v>
      </c>
      <c r="H3" s="22" t="s">
        <v>1045</v>
      </c>
      <c r="I3" s="245" t="s">
        <v>2687</v>
      </c>
      <c r="J3" s="22" t="s">
        <v>2688</v>
      </c>
    </row>
    <row r="4" spans="1:10" ht="39">
      <c r="A4" s="119" t="str">
        <f ca="1">Declaration!B8</f>
        <v>Company Name (*):</v>
      </c>
      <c r="B4" s="118" t="str">
        <f>Declaration!D8</f>
        <v>Hitachi Automotive Systems (SuZhou) Ltd.</v>
      </c>
      <c r="C4" s="118" t="str">
        <f t="shared" ref="C4:C9" ca="1" si="0">IF(H4=1,J4,I4)</f>
        <v>Complete</v>
      </c>
      <c r="D4" s="128" t="str">
        <f>IF(H4=1,"Click here to enter Company Name","")</f>
        <v/>
      </c>
      <c r="E4" s="100" t="s">
        <v>2677</v>
      </c>
      <c r="F4" s="126">
        <v>1</v>
      </c>
      <c r="G4" s="97">
        <f t="shared" ref="G4:G9" si="1">IF(B4=0,1,0)</f>
        <v>0</v>
      </c>
      <c r="H4" s="98">
        <f>F4*G4</f>
        <v>0</v>
      </c>
      <c r="I4" s="246" t="str">
        <f ca="1">OFFSET(L!$C$1,MATCH("Checker"&amp;"Comp",L!$A:$A,0)-1,SL,,)</f>
        <v>Complete</v>
      </c>
      <c r="J4" s="247" t="str">
        <f ca="1">OFFSET(L!$C$1,MATCH("Checker"&amp;ADDRESS(ROW(),COLUMN(),4),L!$A:$A,0)-1,SL,,)</f>
        <v>Provide your company name on the Declaration tab cell D8</v>
      </c>
    </row>
    <row r="5" spans="1:10" ht="39">
      <c r="A5" s="119" t="str">
        <f ca="1">Declaration!B9</f>
        <v>Declaration Scope or Class (*):</v>
      </c>
      <c r="B5" s="118" t="str">
        <f>Declaration!D9</f>
        <v>A. Company</v>
      </c>
      <c r="C5" s="118" t="str">
        <f t="shared" ca="1" si="0"/>
        <v>Complete</v>
      </c>
      <c r="D5" s="128" t="str">
        <f>IF(H5=1,"Click here to enter Declaration Scope","")</f>
        <v/>
      </c>
      <c r="E5" s="100" t="s">
        <v>2677</v>
      </c>
      <c r="F5" s="126">
        <v>1</v>
      </c>
      <c r="G5" s="97">
        <f t="shared" si="1"/>
        <v>0</v>
      </c>
      <c r="H5" s="98">
        <f t="shared" ref="H5:H23" si="2">F5*G5</f>
        <v>0</v>
      </c>
      <c r="I5" s="246" t="str">
        <f ca="1">OFFSET(L!$C$1,MATCH("Checker"&amp;"Comp",L!$A:$A,0)-1,SL,,)</f>
        <v>Complete</v>
      </c>
      <c r="J5" s="247" t="str">
        <f ca="1">OFFSET(L!$C$1,MATCH("Checker"&amp;ADDRESS(ROW(),COLUMN(),4),L!$A:$A,0)-1,SL,,)</f>
        <v>Select the scope of declaration on the Declaration tab cell D9</v>
      </c>
    </row>
    <row r="6" spans="1:10" ht="39">
      <c r="A6" s="119" t="str">
        <f ca="1">Declaration!B10</f>
        <v>Description of Scope:</v>
      </c>
      <c r="B6" s="118">
        <f>Declaration!D10</f>
        <v>0</v>
      </c>
      <c r="C6" s="118" t="str">
        <f t="shared" ca="1" si="0"/>
        <v>Complete</v>
      </c>
      <c r="D6" s="128" t="str">
        <f>IF(H6=1,"Click here to provide a Description of Scope","")</f>
        <v/>
      </c>
      <c r="E6" s="100" t="s">
        <v>2677</v>
      </c>
      <c r="F6" s="127">
        <f>IF(OR(B5=Declaration!P9,B5=Declaration!Q9,B5=0),0,1)</f>
        <v>0</v>
      </c>
      <c r="G6" s="97">
        <f t="shared" si="1"/>
        <v>1</v>
      </c>
      <c r="H6" s="98">
        <f t="shared" si="2"/>
        <v>0</v>
      </c>
      <c r="I6" s="246" t="str">
        <f ca="1">OFFSET(L!$C$1,MATCH("Checker"&amp;"Comp",L!$A:$A,0)-1,SL,,)</f>
        <v>Complete</v>
      </c>
      <c r="J6" s="22" t="str">
        <f ca="1">OFFSET(L!$C$1,MATCH("Checker"&amp;ADDRESS(ROW(),COLUMN(),4),L!$A:$A,0)-1,SL,,)</f>
        <v>Provide description of scope on Declaration tab cell D10</v>
      </c>
    </row>
    <row r="7" spans="1:10" ht="39">
      <c r="A7" s="119" t="str">
        <f ca="1">Declaration!B15</f>
        <v>Contact Name (*):</v>
      </c>
      <c r="B7" s="118" t="str">
        <f>Declaration!D15</f>
        <v>Luo Lei</v>
      </c>
      <c r="C7" s="118" t="str">
        <f t="shared" ca="1" si="0"/>
        <v>Complete</v>
      </c>
      <c r="D7" s="128" t="str">
        <f>IF(H7=1,"Click here to enter Contact Name","")</f>
        <v/>
      </c>
      <c r="E7" s="100" t="s">
        <v>2677</v>
      </c>
      <c r="F7" s="174">
        <v>1</v>
      </c>
      <c r="G7" s="97">
        <f t="shared" si="1"/>
        <v>0</v>
      </c>
      <c r="H7" s="98">
        <f t="shared" si="2"/>
        <v>0</v>
      </c>
      <c r="I7" s="246" t="str">
        <f ca="1">OFFSET(L!$C$1,MATCH("Checker"&amp;"Comp",L!$A:$A,0)-1,SL,,)</f>
        <v>Complete</v>
      </c>
      <c r="J7" s="22" t="str">
        <f ca="1">OFFSET(L!$C$1,MATCH("Checker"&amp;ADDRESS(ROW(),COLUMN(),4),L!$A:$A,0)-1,SL,,)</f>
        <v>Provide contact name in Declaration tab cell D15</v>
      </c>
    </row>
    <row r="8" spans="1:10" ht="39">
      <c r="A8" s="119" t="str">
        <f ca="1">Declaration!B16</f>
        <v>Email – Contact (*):</v>
      </c>
      <c r="B8" s="118" t="str">
        <f>Declaration!D16</f>
        <v>luolei.dt@hitachi-automotive-su.cn</v>
      </c>
      <c r="C8" s="118" t="str">
        <f t="shared" ca="1" si="0"/>
        <v>Complete</v>
      </c>
      <c r="D8" s="128" t="str">
        <f>IF(H8=1,"Click here to enter Email-Contact","")</f>
        <v/>
      </c>
      <c r="E8" s="100" t="s">
        <v>2677</v>
      </c>
      <c r="F8" s="174">
        <v>1</v>
      </c>
      <c r="G8" s="97">
        <f t="shared" si="1"/>
        <v>0</v>
      </c>
      <c r="H8" s="98">
        <f t="shared" si="2"/>
        <v>0</v>
      </c>
      <c r="I8" s="246" t="str">
        <f ca="1">OFFSET(L!$C$1,MATCH("Checker"&amp;"Comp",L!$A:$A,0)-1,SL,,)</f>
        <v>Complete</v>
      </c>
      <c r="J8" s="22" t="str">
        <f ca="1">OFFSET(L!$C$1,MATCH("Checker"&amp;ADDRESS(ROW(),COLUMN(),4),L!$A:$A,0)-1,SL,,)</f>
        <v>Provide an email for contact in Declaration tab cell D16</v>
      </c>
    </row>
    <row r="9" spans="1:10" ht="39">
      <c r="A9" s="119" t="str">
        <f ca="1">Declaration!B17</f>
        <v>Phone – Contact (*):</v>
      </c>
      <c r="B9" s="118">
        <f>Declaration!D17</f>
        <v>62863600</v>
      </c>
      <c r="C9" s="118" t="str">
        <f t="shared" ca="1" si="0"/>
        <v>Complete</v>
      </c>
      <c r="D9" s="128" t="str">
        <f>IF(H9=1,"Click here to enter Phone-Contact","")</f>
        <v/>
      </c>
      <c r="E9" s="100" t="s">
        <v>2677</v>
      </c>
      <c r="F9" s="174">
        <v>1</v>
      </c>
      <c r="G9" s="97">
        <f t="shared" si="1"/>
        <v>0</v>
      </c>
      <c r="H9" s="98">
        <f t="shared" si="2"/>
        <v>0</v>
      </c>
      <c r="I9" s="246" t="str">
        <f ca="1">OFFSET(L!$C$1,MATCH("Checker"&amp;"Comp",L!$A:$A,0)-1,SL,,)</f>
        <v>Complete</v>
      </c>
      <c r="J9" s="22" t="str">
        <f ca="1">OFFSET(L!$C$1,MATCH("Checker"&amp;ADDRESS(ROW(),COLUMN(),4),L!$A:$A,0)-1,SL,,)</f>
        <v>Provide a phone number for contact in Declaration tab cell D17</v>
      </c>
    </row>
    <row r="10" spans="1:10" ht="39">
      <c r="A10" s="119" t="str">
        <f ca="1">Declaration!B18</f>
        <v>Authorizer (*):</v>
      </c>
      <c r="B10" s="118" t="str">
        <f>Declaration!D18</f>
        <v>Luo Lei</v>
      </c>
      <c r="C10" s="118" t="str">
        <f t="shared" ref="C10:C61" ca="1" si="3">IF(H10=1,J10,I10)</f>
        <v>Complete</v>
      </c>
      <c r="D10" s="128" t="str">
        <f>IF(H10=1,"Click here to enter an Authorized Company Representative's name","")</f>
        <v/>
      </c>
      <c r="E10" s="100" t="s">
        <v>2677</v>
      </c>
      <c r="F10" s="126">
        <v>1</v>
      </c>
      <c r="G10" s="97">
        <f t="shared" ref="G10:G23" si="4">IF(B10=0,1,0)</f>
        <v>0</v>
      </c>
      <c r="H10" s="98">
        <f t="shared" si="2"/>
        <v>0</v>
      </c>
      <c r="I10" s="246" t="str">
        <f ca="1">OFFSET(L!$C$1,MATCH("Checker"&amp;"Comp",L!$A:$A,0)-1,SL,,)</f>
        <v>Complete</v>
      </c>
      <c r="J10" s="22" t="str">
        <f ca="1">OFFSET(L!$C$1,MATCH("Checker"&amp;ADDRESS(ROW(),COLUMN(),4),L!$A:$A,0)-1,SL,,)</f>
        <v>Provide authorized company representative contact name in Declaration tab cell D18</v>
      </c>
    </row>
    <row r="11" spans="1:10" ht="39">
      <c r="A11" s="119" t="str">
        <f ca="1">Declaration!B20</f>
        <v>Email - Authorizer (*):</v>
      </c>
      <c r="B11" s="118" t="str">
        <f>Declaration!D20</f>
        <v>luolei.dt@hitachi-automotive-su.cn</v>
      </c>
      <c r="C11" s="118" t="str">
        <f t="shared" ca="1" si="3"/>
        <v>Complete</v>
      </c>
      <c r="D11" s="128" t="str">
        <f>IF(H11=1,"Click here to enter Representative's email","")</f>
        <v/>
      </c>
      <c r="E11" s="100" t="s">
        <v>2677</v>
      </c>
      <c r="F11" s="126">
        <v>1</v>
      </c>
      <c r="G11" s="97">
        <f t="shared" si="4"/>
        <v>0</v>
      </c>
      <c r="H11" s="98">
        <f t="shared" si="2"/>
        <v>0</v>
      </c>
      <c r="I11" s="246" t="str">
        <f ca="1">OFFSET(L!$C$1,MATCH("Checker"&amp;"Comp",L!$A:$A,0)-1,SL,,)</f>
        <v>Complete</v>
      </c>
      <c r="J11" s="22" t="str">
        <f ca="1">OFFSET(L!$C$1,MATCH("Checker"&amp;ADDRESS(ROW(),COLUMN(),4),L!$A:$A,0)-1,SL,,)</f>
        <v>Provide an email for authorized company representative on Declaration tab cell D20</v>
      </c>
    </row>
    <row r="12" spans="1:10" ht="39">
      <c r="A12" s="119" t="str">
        <f ca="1">Declaration!B21</f>
        <v>Phone - Authorizer (*):</v>
      </c>
      <c r="B12" s="118">
        <f>Declaration!D21</f>
        <v>62863600</v>
      </c>
      <c r="C12" s="118" t="str">
        <f ca="1">IF(H12=1,J12,I12)</f>
        <v>Complete</v>
      </c>
      <c r="D12" s="128" t="str">
        <f>IF(H12=1,"Click here to enter Representative's phone","")</f>
        <v/>
      </c>
      <c r="E12" s="100" t="s">
        <v>2677</v>
      </c>
      <c r="F12" s="126">
        <v>1</v>
      </c>
      <c r="G12" s="97">
        <f>IF(B12=0,1,0)</f>
        <v>0</v>
      </c>
      <c r="H12" s="98">
        <f>F12*G12</f>
        <v>0</v>
      </c>
      <c r="I12" s="246" t="str">
        <f ca="1">OFFSET(L!$C$1,MATCH("Checker"&amp;"Comp",L!$A:$A,0)-1,SL,,)</f>
        <v>Complete</v>
      </c>
      <c r="J12" s="22" t="str">
        <f ca="1">OFFSET(L!$C$1,MATCH("Checker"&amp;ADDRESS(ROW(),COLUMN(),4),L!$A:$A,0)-1,SL,,)</f>
        <v>Provide a phone number for authorized company representative on Declaration tab cell D21</v>
      </c>
    </row>
    <row r="13" spans="1:10" ht="39">
      <c r="A13" s="119" t="str">
        <f ca="1">Declaration!B22</f>
        <v>Effective Date (*):</v>
      </c>
      <c r="B13" s="120">
        <f>Declaration!D22</f>
        <v>42633</v>
      </c>
      <c r="C13" s="118" t="str">
        <f t="shared" ca="1" si="3"/>
        <v>Complete</v>
      </c>
      <c r="D13" s="128" t="str">
        <f>IF(H13=1,"Click here to enter Date of Completion","")</f>
        <v/>
      </c>
      <c r="E13" s="100" t="s">
        <v>2677</v>
      </c>
      <c r="F13" s="126">
        <v>1</v>
      </c>
      <c r="G13" s="97">
        <f t="shared" si="4"/>
        <v>0</v>
      </c>
      <c r="H13" s="98">
        <f t="shared" si="2"/>
        <v>0</v>
      </c>
      <c r="I13" s="246" t="str">
        <f ca="1">OFFSET(L!$C$1,MATCH("Checker"&amp;"Comp",L!$A:$A,0)-1,SL,,)</f>
        <v>Complete</v>
      </c>
      <c r="J13" s="22" t="str">
        <f ca="1">OFFSET(L!$C$1,MATCH("Checker"&amp;ADDRESS(ROW(),COLUMN(),4),L!$A:$A,0)-1,SL,,)</f>
        <v>Provide date the form was completed on Declaration tab cell D22</v>
      </c>
    </row>
    <row r="14" spans="1:10" ht="63.75">
      <c r="A14" s="118" t="str">
        <f ca="1">Declaration!B25</f>
        <v>1) Is the 3TG intentionally added to your product? (*)</v>
      </c>
      <c r="B14" s="121"/>
      <c r="C14" s="121"/>
      <c r="D14" s="129"/>
      <c r="E14" s="100" t="s">
        <v>1560</v>
      </c>
      <c r="F14" s="126"/>
      <c r="G14" s="24"/>
      <c r="H14" s="99">
        <f t="shared" si="2"/>
        <v>0</v>
      </c>
    </row>
    <row r="15" spans="1:10" ht="26.25">
      <c r="A15" s="119" t="str">
        <f ca="1">Declaration!B26</f>
        <v>Tantalum  (*)</v>
      </c>
      <c r="B15" s="118" t="str">
        <f>Declaration!D26</f>
        <v>Yes</v>
      </c>
      <c r="C15" s="118" t="str">
        <f t="shared" ca="1" si="3"/>
        <v>Complete</v>
      </c>
      <c r="D15" s="128" t="str">
        <f>IF(H15=1,"Click here to answer question 1 for Tantalum","")</f>
        <v/>
      </c>
      <c r="E15" s="100" t="s">
        <v>1556</v>
      </c>
      <c r="F15" s="126">
        <v>1</v>
      </c>
      <c r="G15" s="97">
        <f t="shared" si="4"/>
        <v>0</v>
      </c>
      <c r="H15" s="98">
        <f t="shared" si="2"/>
        <v>0</v>
      </c>
      <c r="I15" s="246" t="str">
        <f ca="1">OFFSET(L!$C$1,MATCH("Checker"&amp;"Comp",L!$A:$A,0)-1,SL,,)</f>
        <v>Complete</v>
      </c>
      <c r="J15" s="247" t="str">
        <f ca="1">OFFSET(L!$C$1,MATCH("Checker"&amp;ADDRESS(ROW(),COLUMN(),4),L!$A:$A,0)-1,SL,,)</f>
        <v>Declare if Tantalum is intentionally added to your products on Declaration tab cell D26</v>
      </c>
    </row>
    <row r="16" spans="1:10" ht="39">
      <c r="A16" s="119" t="str">
        <f ca="1">Declaration!B27</f>
        <v>Tin  (*)</v>
      </c>
      <c r="B16" s="118" t="str">
        <f>Declaration!D27</f>
        <v>Yes</v>
      </c>
      <c r="C16" s="118" t="str">
        <f t="shared" ca="1" si="3"/>
        <v>Complete</v>
      </c>
      <c r="D16" s="128" t="str">
        <f>IF(H16=1,"Click here to answer question 1 for Tin","")</f>
        <v/>
      </c>
      <c r="E16" s="100" t="s">
        <v>1557</v>
      </c>
      <c r="F16" s="126">
        <v>1</v>
      </c>
      <c r="G16" s="97">
        <f t="shared" si="4"/>
        <v>0</v>
      </c>
      <c r="H16" s="98">
        <f t="shared" si="2"/>
        <v>0</v>
      </c>
      <c r="I16" s="246" t="str">
        <f ca="1">OFFSET(L!$C$1,MATCH("Checker"&amp;"Comp",L!$A:$A,0)-1,SL,,)</f>
        <v>Complete</v>
      </c>
      <c r="J16" s="247" t="str">
        <f ca="1">OFFSET(L!$C$1,MATCH("Checker"&amp;ADDRESS(ROW(),COLUMN(),4),L!$A:$A,0)-1,SL,,)</f>
        <v>Declare if Tin is intentionally added to your products on Declaration tab cell D27</v>
      </c>
    </row>
    <row r="17" spans="1:10" ht="39">
      <c r="A17" s="119" t="str">
        <f ca="1">Declaration!B28</f>
        <v>Gold  (*)</v>
      </c>
      <c r="B17" s="118" t="str">
        <f>Declaration!D28</f>
        <v>Yes</v>
      </c>
      <c r="C17" s="118" t="str">
        <f t="shared" ca="1" si="3"/>
        <v>Complete</v>
      </c>
      <c r="D17" s="128" t="str">
        <f>IF(H17=1,"Click here to answer question 1 for Gold","")</f>
        <v/>
      </c>
      <c r="E17" s="100" t="s">
        <v>1557</v>
      </c>
      <c r="F17" s="126">
        <v>1</v>
      </c>
      <c r="G17" s="97">
        <f t="shared" si="4"/>
        <v>0</v>
      </c>
      <c r="H17" s="98">
        <f t="shared" si="2"/>
        <v>0</v>
      </c>
      <c r="I17" s="246" t="str">
        <f ca="1">OFFSET(L!$C$1,MATCH("Checker"&amp;"Comp",L!$A:$A,0)-1,SL,,)</f>
        <v>Complete</v>
      </c>
      <c r="J17" s="247" t="str">
        <f ca="1">OFFSET(L!$C$1,MATCH("Checker"&amp;ADDRESS(ROW(),COLUMN(),4),L!$A:$A,0)-1,SL,,)</f>
        <v>Declare if Gold is intentionally added to your products on Declaration tab cell D28</v>
      </c>
    </row>
    <row r="18" spans="1:10" ht="39">
      <c r="A18" s="119" t="str">
        <f ca="1">Declaration!B29</f>
        <v>Tungsten  (*)</v>
      </c>
      <c r="B18" s="118" t="str">
        <f>Declaration!D29</f>
        <v>Yes</v>
      </c>
      <c r="C18" s="118" t="str">
        <f t="shared" ca="1" si="3"/>
        <v>Complete</v>
      </c>
      <c r="D18" s="128" t="str">
        <f>IF(H18=1,"Click here to answer question 1 for Tungsten","")</f>
        <v/>
      </c>
      <c r="E18" s="100" t="s">
        <v>1557</v>
      </c>
      <c r="F18" s="126">
        <v>1</v>
      </c>
      <c r="G18" s="97">
        <f t="shared" si="4"/>
        <v>0</v>
      </c>
      <c r="H18" s="98">
        <f t="shared" si="2"/>
        <v>0</v>
      </c>
      <c r="I18" s="246" t="str">
        <f ca="1">OFFSET(L!$C$1,MATCH("Checker"&amp;"Comp",L!$A:$A,0)-1,SL,,)</f>
        <v>Complete</v>
      </c>
      <c r="J18" s="247" t="str">
        <f ca="1">OFFSET(L!$C$1,MATCH("Checker"&amp;ADDRESS(ROW(),COLUMN(),4),L!$A:$A,0)-1,SL,,)</f>
        <v>Declare if Tungsten is intentionally added to your products on Declaration tab cell D29</v>
      </c>
    </row>
    <row r="19" spans="1:10" ht="51">
      <c r="A19" s="118" t="str">
        <f ca="1">Declaration!B31</f>
        <v>2) Is the 3TG necessary to the production of your company’s products and contained in the finished product that your company manufactures or contracts to manufacture?  (*)</v>
      </c>
      <c r="B19" s="121"/>
      <c r="C19" s="121"/>
      <c r="D19" s="129"/>
      <c r="E19" s="100" t="s">
        <v>1558</v>
      </c>
      <c r="F19" s="126"/>
      <c r="G19" s="24"/>
      <c r="H19" s="24"/>
      <c r="J19" s="247"/>
    </row>
    <row r="20" spans="1:10" ht="39">
      <c r="A20" s="119" t="str">
        <f ca="1">Declaration!B32</f>
        <v>Tantalum  (*)</v>
      </c>
      <c r="B20" s="118" t="str">
        <f>Declaration!D32</f>
        <v>Yes</v>
      </c>
      <c r="C20" s="118" t="str">
        <f t="shared" ca="1" si="3"/>
        <v>Complete</v>
      </c>
      <c r="D20" s="130" t="str">
        <f>IF(H20=1,"Click here to answer question 2 for Tantalum","")</f>
        <v/>
      </c>
      <c r="E20" s="100" t="s">
        <v>1557</v>
      </c>
      <c r="F20" s="126">
        <v>1</v>
      </c>
      <c r="G20" s="97">
        <f t="shared" si="4"/>
        <v>0</v>
      </c>
      <c r="H20" s="98">
        <f t="shared" si="2"/>
        <v>0</v>
      </c>
      <c r="I20" s="246" t="str">
        <f ca="1">OFFSET(L!$C$1,MATCH("Checker"&amp;"Comp",L!$A:$A,0)-1,SL,,)</f>
        <v>Complete</v>
      </c>
      <c r="J20" s="247" t="str">
        <f ca="1">OFFSET(L!$C$1,MATCH("Checker"&amp;ADDRESS(ROW(),COLUMN(),4),L!$A:$A,0)-1,SL,,)</f>
        <v>Declare if Tantalum is necessary to the production of your products and contained within the finished products declared in Declaration tab cell D32</v>
      </c>
    </row>
    <row r="21" spans="1:10" ht="39">
      <c r="A21" s="119" t="str">
        <f ca="1">Declaration!B33</f>
        <v>Tin  (*)</v>
      </c>
      <c r="B21" s="118" t="str">
        <f>Declaration!D33</f>
        <v>Yes</v>
      </c>
      <c r="C21" s="118" t="str">
        <f t="shared" ca="1" si="3"/>
        <v>Complete</v>
      </c>
      <c r="D21" s="130" t="str">
        <f>IF(H21=1,"Click here to answer question 2 for Tin","")</f>
        <v/>
      </c>
      <c r="E21" s="100" t="s">
        <v>1557</v>
      </c>
      <c r="F21" s="126">
        <v>1</v>
      </c>
      <c r="G21" s="97">
        <f t="shared" si="4"/>
        <v>0</v>
      </c>
      <c r="H21" s="98">
        <f t="shared" si="2"/>
        <v>0</v>
      </c>
      <c r="I21" s="246" t="str">
        <f ca="1">OFFSET(L!$C$1,MATCH("Checker"&amp;"Comp",L!$A:$A,0)-1,SL,,)</f>
        <v>Complete</v>
      </c>
      <c r="J21" s="247" t="str">
        <f ca="1">OFFSET(L!$C$1,MATCH("Checker"&amp;ADDRESS(ROW(),COLUMN(),4),L!$A:$A,0)-1,SL,,)</f>
        <v>Declare if Tin is necessary to the production of your products and contained within the finished products declared in Declaration tab cell D33</v>
      </c>
    </row>
    <row r="22" spans="1:10" ht="39">
      <c r="A22" s="119" t="str">
        <f ca="1">Declaration!B34</f>
        <v>Gold  (*)</v>
      </c>
      <c r="B22" s="118" t="str">
        <f>Declaration!D34</f>
        <v>Yes</v>
      </c>
      <c r="C22" s="118" t="str">
        <f t="shared" ca="1" si="3"/>
        <v>Complete</v>
      </c>
      <c r="D22" s="130" t="str">
        <f>IF(H22=1,"Click here to answer question 2 for Gold","")</f>
        <v/>
      </c>
      <c r="E22" s="100" t="s">
        <v>1557</v>
      </c>
      <c r="F22" s="126">
        <v>1</v>
      </c>
      <c r="G22" s="97">
        <f t="shared" si="4"/>
        <v>0</v>
      </c>
      <c r="H22" s="98">
        <f t="shared" si="2"/>
        <v>0</v>
      </c>
      <c r="I22" s="246" t="str">
        <f ca="1">OFFSET(L!$C$1,MATCH("Checker"&amp;"Comp",L!$A:$A,0)-1,SL,,)</f>
        <v>Complete</v>
      </c>
      <c r="J22" s="247" t="str">
        <f ca="1">OFFSET(L!$C$1,MATCH("Checker"&amp;ADDRESS(ROW(),COLUMN(),4),L!$A:$A,0)-1,SL,,)</f>
        <v>Declare if Gold is necessary to the production of your products and contained within the finished products declared in Declaration tab cell D34</v>
      </c>
    </row>
    <row r="23" spans="1:10" ht="39">
      <c r="A23" s="119" t="str">
        <f ca="1">Declaration!B35</f>
        <v>Tungsten  (*)</v>
      </c>
      <c r="B23" s="118" t="str">
        <f>Declaration!D35</f>
        <v>Yes</v>
      </c>
      <c r="C23" s="118" t="str">
        <f t="shared" ca="1" si="3"/>
        <v>Complete</v>
      </c>
      <c r="D23" s="130" t="str">
        <f>IF(H23=1,"Click here to answer question 2 for Tungsten","")</f>
        <v/>
      </c>
      <c r="E23" s="100" t="s">
        <v>1557</v>
      </c>
      <c r="F23" s="126">
        <v>1</v>
      </c>
      <c r="G23" s="97">
        <f t="shared" si="4"/>
        <v>0</v>
      </c>
      <c r="H23" s="98">
        <f t="shared" si="2"/>
        <v>0</v>
      </c>
      <c r="I23" s="246" t="str">
        <f ca="1">OFFSET(L!$C$1,MATCH("Checker"&amp;"Comp",L!$A:$A,0)-1,SL,,)</f>
        <v>Complete</v>
      </c>
      <c r="J23" s="247" t="str">
        <f ca="1">OFFSET(L!$C$1,MATCH("Checker"&amp;ADDRESS(ROW(),COLUMN(),4),L!$A:$A,0)-1,SL,,)</f>
        <v>Declare if Tungsten is necessary to the production of your products and contained within the finished products declared in Declaration tab cell D35</v>
      </c>
    </row>
    <row r="24" spans="1:10" ht="38.25">
      <c r="A24" s="118" t="str">
        <f ca="1">Declaration!B37</f>
        <v>3) Do any of the smelters in your supply chain source the 3TG from the covered countries?  (*)</v>
      </c>
      <c r="B24" s="121"/>
      <c r="C24" s="121"/>
      <c r="D24" s="129"/>
      <c r="E24" s="100" t="s">
        <v>1557</v>
      </c>
      <c r="F24" s="126"/>
      <c r="G24" s="24"/>
      <c r="H24" s="24"/>
      <c r="J24" s="247"/>
    </row>
    <row r="25" spans="1:10" ht="39" customHeight="1">
      <c r="A25" s="119" t="str">
        <f ca="1">Declaration!B38</f>
        <v>Tantalum  (*)</v>
      </c>
      <c r="B25" s="118" t="str">
        <f>Declaration!D38</f>
        <v>Yes</v>
      </c>
      <c r="C25" s="118" t="str">
        <f t="shared" ca="1" si="3"/>
        <v>Complete</v>
      </c>
      <c r="D25" s="130" t="str">
        <f>IF(H25=1,"Click here to answer question 3 for Tantalum","")</f>
        <v/>
      </c>
      <c r="E25" s="100" t="s">
        <v>1557</v>
      </c>
      <c r="F25" s="127">
        <f>IF(AND(B$15="No",B$20="No"),0,1)</f>
        <v>1</v>
      </c>
      <c r="G25" s="97">
        <f t="shared" ref="G25:G60" si="5">IF(B25=0,1,0)</f>
        <v>0</v>
      </c>
      <c r="H25" s="98">
        <f t="shared" ref="H25:H61" si="6">F25*G25</f>
        <v>0</v>
      </c>
      <c r="I25" s="246"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9" t="str">
        <f ca="1">Declaration!B39</f>
        <v>Tin  (*)</v>
      </c>
      <c r="B26" s="118" t="str">
        <f>Declaration!D39</f>
        <v>Yes</v>
      </c>
      <c r="C26" s="118" t="str">
        <f t="shared" ca="1" si="3"/>
        <v>Complete</v>
      </c>
      <c r="D26" s="130" t="str">
        <f>IF(H26=1,"Click here to answer question 3 for Tin","")</f>
        <v/>
      </c>
      <c r="E26" s="100" t="s">
        <v>1557</v>
      </c>
      <c r="F26" s="127">
        <f>IF(AND(B$16="No",B$21="No"),0,1)</f>
        <v>1</v>
      </c>
      <c r="G26" s="97">
        <f t="shared" si="5"/>
        <v>0</v>
      </c>
      <c r="H26" s="98">
        <f t="shared" si="6"/>
        <v>0</v>
      </c>
      <c r="I26" s="246"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9" t="str">
        <f ca="1">Declaration!B40</f>
        <v>Gold  (*)</v>
      </c>
      <c r="B27" s="118" t="str">
        <f>Declaration!D40</f>
        <v>Yes</v>
      </c>
      <c r="C27" s="118" t="str">
        <f t="shared" ca="1" si="3"/>
        <v>Complete</v>
      </c>
      <c r="D27" s="130" t="str">
        <f>IF(H27=1,"Click here to answer question 3 for Gold","")</f>
        <v/>
      </c>
      <c r="E27" s="100" t="s">
        <v>1557</v>
      </c>
      <c r="F27" s="127">
        <f>IF(AND(B$17="No",B$22="No"),0,1)</f>
        <v>1</v>
      </c>
      <c r="G27" s="97">
        <f t="shared" si="5"/>
        <v>0</v>
      </c>
      <c r="H27" s="98">
        <f t="shared" si="6"/>
        <v>0</v>
      </c>
      <c r="I27" s="246"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19" t="str">
        <f ca="1">Declaration!B41</f>
        <v>Tungsten  (*)</v>
      </c>
      <c r="B28" s="118" t="str">
        <f>Declaration!D41</f>
        <v>Yes</v>
      </c>
      <c r="C28" s="118" t="str">
        <f t="shared" ca="1" si="3"/>
        <v>Complete</v>
      </c>
      <c r="D28" s="130" t="str">
        <f>IF(H28=1,"Click here to answer question 3 for Tungsten","")</f>
        <v/>
      </c>
      <c r="E28" s="100" t="s">
        <v>1557</v>
      </c>
      <c r="F28" s="127">
        <f>IF(AND(B$18="No",B$23="No"),0,1)</f>
        <v>1</v>
      </c>
      <c r="G28" s="97">
        <f t="shared" si="5"/>
        <v>0</v>
      </c>
      <c r="H28" s="98">
        <f t="shared" si="6"/>
        <v>0</v>
      </c>
      <c r="I28" s="246"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18" t="str">
        <f ca="1">Declaration!B43</f>
        <v>4) Does 100 percent of the 3TG (necessary to the functionality or production of your products) originate from recycled or scrap sources?  (*)</v>
      </c>
      <c r="B29" s="121"/>
      <c r="C29" s="121"/>
      <c r="D29" s="129"/>
      <c r="E29" s="100" t="s">
        <v>2677</v>
      </c>
      <c r="F29" s="126"/>
      <c r="G29" s="24"/>
      <c r="H29" s="24"/>
      <c r="J29" s="247"/>
    </row>
    <row r="30" spans="1:10" ht="39" customHeight="1">
      <c r="A30" s="119" t="str">
        <f ca="1">Declaration!B44</f>
        <v>Tantalum  (*)</v>
      </c>
      <c r="B30" s="118" t="str">
        <f>Declaration!D44</f>
        <v>No</v>
      </c>
      <c r="C30" s="118" t="str">
        <f ca="1">IF(H30=1,J30,I30)</f>
        <v>Complete</v>
      </c>
      <c r="D30" s="130" t="str">
        <f>IF(H30=1,"Click here to answer question 4 for Tantalum","")</f>
        <v/>
      </c>
      <c r="E30" s="100" t="s">
        <v>2677</v>
      </c>
      <c r="F30" s="127">
        <f>F25</f>
        <v>1</v>
      </c>
      <c r="G30" s="97">
        <f>IF(B30=0,1,0)</f>
        <v>0</v>
      </c>
      <c r="H30" s="98">
        <f>F30*G30</f>
        <v>0</v>
      </c>
      <c r="I30" s="246" t="str">
        <f ca="1">OFFSET(L!$C$1,MATCH("Checker"&amp;"Comp",L!$A:$A,0)-1,SL,,)</f>
        <v>Complete</v>
      </c>
      <c r="J30" s="247" t="str">
        <f ca="1">OFFSET(L!$C$1,MATCH("Checker"&amp;ADDRESS(ROW(),COLUMN(),4),L!$A:$A,0)-1,SL,,)</f>
        <v>Declare if Tantalum used within the scope of products declared within this survey response originated entirely from a recycled or scrap source on the Declaration tab cell D44</v>
      </c>
    </row>
    <row r="31" spans="1:10" ht="39">
      <c r="A31" s="119" t="str">
        <f ca="1">Declaration!B45</f>
        <v>Tin  (*)</v>
      </c>
      <c r="B31" s="118" t="str">
        <f>Declaration!D45</f>
        <v>No</v>
      </c>
      <c r="C31" s="118" t="str">
        <f ca="1">IF(H31=1,J31,I31)</f>
        <v>Complete</v>
      </c>
      <c r="D31" s="130" t="str">
        <f>IF(H31=1,"Click here to answer question 4 for Tin","")</f>
        <v/>
      </c>
      <c r="E31" s="100" t="s">
        <v>2677</v>
      </c>
      <c r="F31" s="127">
        <f>F26</f>
        <v>1</v>
      </c>
      <c r="G31" s="97">
        <f>IF(B31=0,1,0)</f>
        <v>0</v>
      </c>
      <c r="H31" s="98">
        <f>F31*G31</f>
        <v>0</v>
      </c>
      <c r="I31" s="246" t="str">
        <f ca="1">OFFSET(L!$C$1,MATCH("Checker"&amp;"Comp",L!$A:$A,0)-1,SL,,)</f>
        <v>Complete</v>
      </c>
      <c r="J31" s="247" t="str">
        <f ca="1">OFFSET(L!$C$1,MATCH("Checker"&amp;ADDRESS(ROW(),COLUMN(),4),L!$A:$A,0)-1,SL,,)</f>
        <v>Declare if Tin used within the scope of products declared within this survey response originated entirely from a recycled or scrap source on the Declaration tab cell D45</v>
      </c>
    </row>
    <row r="32" spans="1:10" ht="39">
      <c r="A32" s="119" t="str">
        <f ca="1">Declaration!B46</f>
        <v>Gold  (*)</v>
      </c>
      <c r="B32" s="118" t="str">
        <f>Declaration!D46</f>
        <v>No</v>
      </c>
      <c r="C32" s="118" t="str">
        <f ca="1">IF(H32=1,J32,I32)</f>
        <v>Complete</v>
      </c>
      <c r="D32" s="130" t="str">
        <f>IF(H32=1,"Click here to answer question 4 for Gold","")</f>
        <v/>
      </c>
      <c r="E32" s="100" t="s">
        <v>2677</v>
      </c>
      <c r="F32" s="127">
        <f>F27</f>
        <v>1</v>
      </c>
      <c r="G32" s="97">
        <f>IF(B32=0,1,0)</f>
        <v>0</v>
      </c>
      <c r="H32" s="98">
        <f>F32*G32</f>
        <v>0</v>
      </c>
      <c r="I32" s="246" t="str">
        <f ca="1">OFFSET(L!$C$1,MATCH("Checker"&amp;"Comp",L!$A:$A,0)-1,SL,,)</f>
        <v>Complete</v>
      </c>
      <c r="J32" s="247" t="str">
        <f ca="1">OFFSET(L!$C$1,MATCH("Checker"&amp;ADDRESS(ROW(),COLUMN(),4),L!$A:$A,0)-1,SL,,)</f>
        <v>Declare if Gold used within the scope of products declared within this survey response originated entirely from a recycled or scrap source on the Declaration tab cell D46</v>
      </c>
    </row>
    <row r="33" spans="1:10" ht="39">
      <c r="A33" s="119" t="str">
        <f ca="1">Declaration!B47</f>
        <v>Tungsten  (*)</v>
      </c>
      <c r="B33" s="118" t="str">
        <f>Declaration!D47</f>
        <v>No</v>
      </c>
      <c r="C33" s="118" t="str">
        <f ca="1">IF(H33=1,J33,I33)</f>
        <v>Complete</v>
      </c>
      <c r="D33" s="130" t="str">
        <f>IF(H33=1,"Click here to answer question 4 for Tungsten","")</f>
        <v/>
      </c>
      <c r="E33" s="100" t="s">
        <v>2677</v>
      </c>
      <c r="F33" s="127">
        <f>F28</f>
        <v>1</v>
      </c>
      <c r="G33" s="97">
        <f>IF(B33=0,1,0)</f>
        <v>0</v>
      </c>
      <c r="H33" s="98">
        <f>F33*G33</f>
        <v>0</v>
      </c>
      <c r="I33" s="246" t="str">
        <f ca="1">OFFSET(L!$C$1,MATCH("Checker"&amp;"Comp",L!$A:$A,0)-1,SL,,)</f>
        <v>Complete</v>
      </c>
      <c r="J33" s="247" t="str">
        <f ca="1">OFFSET(L!$C$1,MATCH("Checker"&amp;ADDRESS(ROW(),COLUMN(),4),L!$A:$A,0)-1,SL,,)</f>
        <v>Declare if Tungsten used within the scope of products declared within this survey response originated entirely from a recycled or scrap source on the Declaration tab cell D47</v>
      </c>
    </row>
    <row r="34" spans="1:10" ht="38.25">
      <c r="A34" s="118" t="str">
        <f ca="1">Declaration!B49</f>
        <v>5) Have you received data/information for each 3TG from all relevant suppliers? (*)</v>
      </c>
      <c r="B34" s="121"/>
      <c r="C34" s="121"/>
      <c r="D34" s="129"/>
      <c r="E34" s="100" t="s">
        <v>1557</v>
      </c>
      <c r="F34" s="126"/>
      <c r="G34" s="24"/>
      <c r="H34" s="24"/>
    </row>
    <row r="35" spans="1:10" ht="26.25">
      <c r="A35" s="119" t="str">
        <f ca="1">Declaration!B50</f>
        <v>Tantalum  (*)</v>
      </c>
      <c r="B35" s="118" t="str">
        <f>Declaration!D50</f>
        <v>No, but greater than 50%</v>
      </c>
      <c r="C35" s="118" t="str">
        <f t="shared" ca="1" si="3"/>
        <v>Complete</v>
      </c>
      <c r="D35" s="128" t="str">
        <f>IF(H35=1,"Click here to answer question 5 for Tantalum","")</f>
        <v/>
      </c>
      <c r="E35" s="100" t="s">
        <v>1556</v>
      </c>
      <c r="F35" s="127">
        <f>F25</f>
        <v>1</v>
      </c>
      <c r="G35" s="97">
        <f t="shared" si="5"/>
        <v>0</v>
      </c>
      <c r="H35" s="98">
        <f t="shared" si="6"/>
        <v>0</v>
      </c>
      <c r="I35" s="246" t="str">
        <f ca="1">OFFSET(L!$C$1,MATCH("Checker"&amp;"Comp",L!$A:$A,0)-1,SL,,)</f>
        <v>Complete</v>
      </c>
      <c r="J35" s="22" t="str">
        <f ca="1">OFFSET(L!$C$1,MATCH("Checker"&amp;ADDRESS(ROW(),COLUMN(),4),L!$A:$A,0)-1,SL,,)</f>
        <v>Provide % of completeness of supplier's smelter information on Declaration tab cell D50</v>
      </c>
    </row>
    <row r="36" spans="1:10" ht="26.25">
      <c r="A36" s="119" t="str">
        <f ca="1">Declaration!B51</f>
        <v>Tin  (*)</v>
      </c>
      <c r="B36" s="118" t="str">
        <f>Declaration!D51</f>
        <v>No, but greater than 50%</v>
      </c>
      <c r="C36" s="118" t="str">
        <f t="shared" ca="1" si="3"/>
        <v>Complete</v>
      </c>
      <c r="D36" s="128" t="str">
        <f>IF(H36=1,"Click here to answer question 5 for Tin","")</f>
        <v/>
      </c>
      <c r="E36" s="100" t="s">
        <v>1556</v>
      </c>
      <c r="F36" s="127">
        <f>F26</f>
        <v>1</v>
      </c>
      <c r="G36" s="97">
        <f t="shared" si="5"/>
        <v>0</v>
      </c>
      <c r="H36" s="98">
        <f t="shared" si="6"/>
        <v>0</v>
      </c>
      <c r="I36" s="246" t="str">
        <f ca="1">OFFSET(L!$C$1,MATCH("Checker"&amp;"Comp",L!$A:$A,0)-1,SL,,)</f>
        <v>Complete</v>
      </c>
      <c r="J36" s="22" t="str">
        <f ca="1">OFFSET(L!$C$1,MATCH("Checker"&amp;ADDRESS(ROW(),COLUMN(),4),L!$A:$A,0)-1,SL,,)</f>
        <v>Provide % of completeness of supplier's smelter information on Declaration tab cell D51</v>
      </c>
    </row>
    <row r="37" spans="1:10" ht="26.25">
      <c r="A37" s="119" t="str">
        <f ca="1">Declaration!B52</f>
        <v>Gold  (*)</v>
      </c>
      <c r="B37" s="118" t="str">
        <f>Declaration!D52</f>
        <v>No, but greater than 50%</v>
      </c>
      <c r="C37" s="118" t="str">
        <f t="shared" ca="1" si="3"/>
        <v>Complete</v>
      </c>
      <c r="D37" s="128" t="str">
        <f>IF(H37=1,"Click here to answer question 5 for Gold","")</f>
        <v/>
      </c>
      <c r="E37" s="100" t="s">
        <v>1556</v>
      </c>
      <c r="F37" s="127">
        <f>F27</f>
        <v>1</v>
      </c>
      <c r="G37" s="97">
        <f t="shared" si="5"/>
        <v>0</v>
      </c>
      <c r="H37" s="98">
        <f t="shared" si="6"/>
        <v>0</v>
      </c>
      <c r="I37" s="246" t="str">
        <f ca="1">OFFSET(L!$C$1,MATCH("Checker"&amp;"Comp",L!$A:$A,0)-1,SL,,)</f>
        <v>Complete</v>
      </c>
      <c r="J37" s="22" t="str">
        <f ca="1">OFFSET(L!$C$1,MATCH("Checker"&amp;ADDRESS(ROW(),COLUMN(),4),L!$A:$A,0)-1,SL,,)</f>
        <v>Provide % of completeness of supplier's smelter information on Declaration tab cell D52</v>
      </c>
    </row>
    <row r="38" spans="1:10" ht="26.25">
      <c r="A38" s="119" t="str">
        <f ca="1">Declaration!B53</f>
        <v>Tungsten  (*)</v>
      </c>
      <c r="B38" s="118" t="str">
        <f>Declaration!D53</f>
        <v>No, but greater than 50%</v>
      </c>
      <c r="C38" s="118" t="str">
        <f t="shared" ca="1" si="3"/>
        <v>Complete</v>
      </c>
      <c r="D38" s="128" t="str">
        <f>IF(H38=1,"Click here to answer question 5 for Tungsten","")</f>
        <v/>
      </c>
      <c r="E38" s="100" t="s">
        <v>1556</v>
      </c>
      <c r="F38" s="127">
        <f>F28</f>
        <v>1</v>
      </c>
      <c r="G38" s="97">
        <f t="shared" si="5"/>
        <v>0</v>
      </c>
      <c r="H38" s="98">
        <f t="shared" si="6"/>
        <v>0</v>
      </c>
      <c r="I38" s="246" t="str">
        <f ca="1">OFFSET(L!$C$1,MATCH("Checker"&amp;"Comp",L!$A:$A,0)-1,SL,,)</f>
        <v>Complete</v>
      </c>
      <c r="J38" s="22" t="str">
        <f ca="1">OFFSET(L!$C$1,MATCH("Checker"&amp;ADDRESS(ROW(),COLUMN(),4),L!$A:$A,0)-1,SL,,)</f>
        <v>Provide % of completeness of supplier's smelter information on Declaration tab cell D53</v>
      </c>
    </row>
    <row r="39" spans="1:10" ht="51">
      <c r="A39" s="118" t="str">
        <f ca="1">Declaration!B55</f>
        <v>6) Have you identified all of the smelters supplying the 3TG to your supply chain?  (*)</v>
      </c>
      <c r="B39" s="121"/>
      <c r="C39" s="121"/>
      <c r="D39" s="129"/>
      <c r="E39" s="100" t="s">
        <v>1558</v>
      </c>
      <c r="F39" s="126"/>
      <c r="G39" s="24"/>
      <c r="H39" s="24"/>
    </row>
    <row r="40" spans="1:10" ht="51.75">
      <c r="A40" s="119" t="str">
        <f ca="1">Declaration!B56</f>
        <v>Tantalum  (*)</v>
      </c>
      <c r="B40" s="118" t="str">
        <f>Declaration!D56</f>
        <v>No</v>
      </c>
      <c r="C40" s="118" t="str">
        <f t="shared" ca="1" si="3"/>
        <v>Complete</v>
      </c>
      <c r="D40" s="130" t="str">
        <f>IF(H40=1,"Click here to answer question 6 for Tantalum","")</f>
        <v/>
      </c>
      <c r="E40" s="100" t="s">
        <v>2673</v>
      </c>
      <c r="F40" s="127">
        <f>F25</f>
        <v>1</v>
      </c>
      <c r="G40" s="97">
        <f t="shared" si="5"/>
        <v>0</v>
      </c>
      <c r="H40" s="98">
        <f t="shared" si="6"/>
        <v>0</v>
      </c>
      <c r="I40" s="246"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9" t="str">
        <f ca="1">Declaration!B57</f>
        <v>Tin  (*)</v>
      </c>
      <c r="B41" s="118" t="str">
        <f>Declaration!D57</f>
        <v>No</v>
      </c>
      <c r="C41" s="118" t="str">
        <f t="shared" ca="1" si="3"/>
        <v>Complete</v>
      </c>
      <c r="D41" s="130" t="str">
        <f>IF(H41=1,"Click here to answer question 6 for Tin","")</f>
        <v/>
      </c>
      <c r="E41" s="100" t="s">
        <v>2673</v>
      </c>
      <c r="F41" s="127">
        <f>F26</f>
        <v>1</v>
      </c>
      <c r="G41" s="97">
        <f t="shared" si="5"/>
        <v>0</v>
      </c>
      <c r="H41" s="98">
        <f t="shared" si="6"/>
        <v>0</v>
      </c>
      <c r="I41" s="246"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9" t="str">
        <f ca="1">Declaration!B58</f>
        <v>Gold  (*)</v>
      </c>
      <c r="B42" s="118" t="str">
        <f>Declaration!D58</f>
        <v>No</v>
      </c>
      <c r="C42" s="118" t="str">
        <f t="shared" ca="1" si="3"/>
        <v>Complete</v>
      </c>
      <c r="D42" s="130" t="str">
        <f>IF(H42=1,"Click here to answer question 6 for Gold","")</f>
        <v/>
      </c>
      <c r="E42" s="100" t="s">
        <v>2673</v>
      </c>
      <c r="F42" s="127">
        <f>F27</f>
        <v>1</v>
      </c>
      <c r="G42" s="97">
        <f t="shared" si="5"/>
        <v>0</v>
      </c>
      <c r="H42" s="98">
        <f t="shared" si="6"/>
        <v>0</v>
      </c>
      <c r="I42" s="246"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9" t="str">
        <f ca="1">Declaration!B59</f>
        <v>Tungsten  (*)</v>
      </c>
      <c r="B43" s="118" t="str">
        <f>Declaration!D59</f>
        <v>No</v>
      </c>
      <c r="C43" s="118" t="str">
        <f t="shared" ca="1" si="3"/>
        <v>Complete</v>
      </c>
      <c r="D43" s="130" t="str">
        <f>IF(H43=1,"Click here to answer question 6 for Tungsten","")</f>
        <v/>
      </c>
      <c r="E43" s="100" t="s">
        <v>2673</v>
      </c>
      <c r="F43" s="127">
        <f>F28</f>
        <v>1</v>
      </c>
      <c r="G43" s="97">
        <f t="shared" si="5"/>
        <v>0</v>
      </c>
      <c r="H43" s="98">
        <f t="shared" si="6"/>
        <v>0</v>
      </c>
      <c r="I43" s="246"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18" t="str">
        <f ca="1">Declaration!B61</f>
        <v>7) Has all applicable smelter information received by your company been reported in this declaration?  (*)</v>
      </c>
      <c r="B44" s="121"/>
      <c r="C44" s="121"/>
      <c r="D44" s="129"/>
      <c r="E44" s="100" t="s">
        <v>1559</v>
      </c>
      <c r="F44" s="126"/>
      <c r="G44" s="24"/>
      <c r="H44" s="24"/>
    </row>
    <row r="45" spans="1:10" ht="39">
      <c r="A45" s="119" t="str">
        <f ca="1">Declaration!B62</f>
        <v>Tantalum  (*)</v>
      </c>
      <c r="B45" s="118" t="str">
        <f>Declaration!D62</f>
        <v>Yes</v>
      </c>
      <c r="C45" s="118" t="str">
        <f t="shared" ca="1" si="3"/>
        <v>Complete</v>
      </c>
      <c r="D45" s="131" t="str">
        <f>IF(H45=1,"Click here to answer question 7 for Tantalum","")</f>
        <v/>
      </c>
      <c r="E45" s="100" t="s">
        <v>1557</v>
      </c>
      <c r="F45" s="127">
        <f>F25</f>
        <v>1</v>
      </c>
      <c r="G45" s="97">
        <f t="shared" si="5"/>
        <v>0</v>
      </c>
      <c r="H45" s="98">
        <f t="shared" si="6"/>
        <v>0</v>
      </c>
      <c r="I45" s="246" t="str">
        <f ca="1">OFFSET(L!$C$1,MATCH("Checker"&amp;"Comp",L!$A:$A,0)-1,SL,,)</f>
        <v>Complete</v>
      </c>
      <c r="J45" s="22" t="str">
        <f ca="1">OFFSET(L!$C$1,MATCH("Checker"&amp;ADDRESS(ROW(),COLUMN(),4),L!$A:$A,0)-1,SL,,)</f>
        <v>Declare if all applicable Tantalum smelter information has been provided on Declaration tab cell D62</v>
      </c>
    </row>
    <row r="46" spans="1:10" ht="39">
      <c r="A46" s="119" t="str">
        <f ca="1">Declaration!B63</f>
        <v>Tin  (*)</v>
      </c>
      <c r="B46" s="118" t="str">
        <f>Declaration!D63</f>
        <v>Yes</v>
      </c>
      <c r="C46" s="118" t="str">
        <f t="shared" ca="1" si="3"/>
        <v>Complete</v>
      </c>
      <c r="D46" s="131" t="str">
        <f>IF(H46=1,"Click here to answer question 7 for Tin","")</f>
        <v/>
      </c>
      <c r="E46" s="100" t="s">
        <v>1557</v>
      </c>
      <c r="F46" s="127">
        <f>F26</f>
        <v>1</v>
      </c>
      <c r="G46" s="97">
        <f t="shared" si="5"/>
        <v>0</v>
      </c>
      <c r="H46" s="98">
        <f t="shared" si="6"/>
        <v>0</v>
      </c>
      <c r="I46" s="246" t="str">
        <f ca="1">OFFSET(L!$C$1,MATCH("Checker"&amp;"Comp",L!$A:$A,0)-1,SL,,)</f>
        <v>Complete</v>
      </c>
      <c r="J46" s="22" t="str">
        <f ca="1">OFFSET(L!$C$1,MATCH("Checker"&amp;ADDRESS(ROW(),COLUMN(),4),L!$A:$A,0)-1,SL,,)</f>
        <v>Declare if all applicable Tin smelter information has been provided on Declaration tab cell D63</v>
      </c>
    </row>
    <row r="47" spans="1:10" ht="39">
      <c r="A47" s="119" t="str">
        <f ca="1">Declaration!B64</f>
        <v>Gold  (*)</v>
      </c>
      <c r="B47" s="118" t="str">
        <f>Declaration!D64</f>
        <v>Yes</v>
      </c>
      <c r="C47" s="118" t="str">
        <f t="shared" ca="1" si="3"/>
        <v>Complete</v>
      </c>
      <c r="D47" s="131" t="str">
        <f>IF(H47=1,"Click here to answer question 7 for Gold","")</f>
        <v/>
      </c>
      <c r="E47" s="100" t="s">
        <v>1557</v>
      </c>
      <c r="F47" s="127">
        <f>F27</f>
        <v>1</v>
      </c>
      <c r="G47" s="97">
        <f t="shared" si="5"/>
        <v>0</v>
      </c>
      <c r="H47" s="98">
        <f t="shared" si="6"/>
        <v>0</v>
      </c>
      <c r="I47" s="246" t="str">
        <f ca="1">OFFSET(L!$C$1,MATCH("Checker"&amp;"Comp",L!$A:$A,0)-1,SL,,)</f>
        <v>Complete</v>
      </c>
      <c r="J47" s="22" t="str">
        <f ca="1">OFFSET(L!$C$1,MATCH("Checker"&amp;ADDRESS(ROW(),COLUMN(),4),L!$A:$A,0)-1,SL,,)</f>
        <v>Declare if all applicable Gold smelter information has been provided on Declaration tab cell D64</v>
      </c>
    </row>
    <row r="48" spans="1:10" ht="39">
      <c r="A48" s="119" t="str">
        <f ca="1">Declaration!B65</f>
        <v>Tungsten  (*)</v>
      </c>
      <c r="B48" s="118" t="str">
        <f>Declaration!D65</f>
        <v>Yes</v>
      </c>
      <c r="C48" s="118" t="str">
        <f t="shared" ca="1" si="3"/>
        <v>Complete</v>
      </c>
      <c r="D48" s="131" t="str">
        <f>IF(H48=1,"Click here to answer question 7 for Tungsten","")</f>
        <v/>
      </c>
      <c r="E48" s="100" t="s">
        <v>1557</v>
      </c>
      <c r="F48" s="127">
        <f>F28</f>
        <v>1</v>
      </c>
      <c r="G48" s="97">
        <f t="shared" si="5"/>
        <v>0</v>
      </c>
      <c r="H48" s="98">
        <f t="shared" si="6"/>
        <v>0</v>
      </c>
      <c r="I48" s="246" t="str">
        <f ca="1">OFFSET(L!$C$1,MATCH("Checker"&amp;"Comp",L!$A:$A,0)-1,SL,,)</f>
        <v>Complete</v>
      </c>
      <c r="J48" s="22" t="str">
        <f ca="1">OFFSET(L!$C$1,MATCH("Checker"&amp;ADDRESS(ROW(),COLUMN(),4),L!$A:$A,0)-1,SL,,)</f>
        <v>Declare if all applicable Tungsten smelter information has been provided on Declaration tab cell D65</v>
      </c>
    </row>
    <row r="49" spans="1:12" ht="25.5">
      <c r="A49" s="118" t="str">
        <f ca="1">Declaration!B68</f>
        <v>Question</v>
      </c>
      <c r="B49" s="121"/>
      <c r="C49" s="121"/>
      <c r="D49" s="129"/>
      <c r="E49" s="100" t="s">
        <v>944</v>
      </c>
      <c r="F49" s="126"/>
      <c r="G49" s="126"/>
      <c r="H49" s="126"/>
    </row>
    <row r="50" spans="1:12" ht="39">
      <c r="A50" s="118" t="str">
        <f ca="1">Declaration!B69</f>
        <v>A. Do you have a policy in place that addresses conflict minerals sourcing? (*)</v>
      </c>
      <c r="B50" s="118" t="str">
        <f>Declaration!D69</f>
        <v>Yes</v>
      </c>
      <c r="C50" s="118" t="str">
        <f t="shared" ca="1" si="3"/>
        <v>Complete</v>
      </c>
      <c r="D50" s="128" t="str">
        <f>IF(H50=1,"Click here to answer question (A)","")</f>
        <v/>
      </c>
      <c r="E50" s="100" t="s">
        <v>2677</v>
      </c>
      <c r="F50" s="127">
        <f>IF(SUM(F$25:F$28)=0,0,1)</f>
        <v>1</v>
      </c>
      <c r="G50" s="97">
        <f t="shared" si="5"/>
        <v>0</v>
      </c>
      <c r="H50" s="98">
        <f t="shared" si="6"/>
        <v>0</v>
      </c>
      <c r="I50" s="246" t="str">
        <f ca="1">OFFSET(L!$C$1,MATCH("Checker"&amp;"Comp",L!$A:$A,0)-1,SL,,)</f>
        <v>Complete</v>
      </c>
      <c r="J50" s="22" t="str">
        <f ca="1">OFFSET(L!$C$1,MATCH("Checker"&amp;ADDRESS(ROW(),COLUMN(),4),L!$A:$A,0)-1,SL,,)</f>
        <v>Answer if your company has a DRC conflict-free sourcing policy on the Declaration tab cell D69</v>
      </c>
    </row>
    <row r="51" spans="1:12" ht="39">
      <c r="A51" s="118" t="str">
        <f ca="1">Declaration!B71</f>
        <v>B. Is your conflict minerals sourcing policy publicly available on your website? (Note – If yes, the user shall specify the URL in the comment field.) (*)</v>
      </c>
      <c r="B51" s="118" t="str">
        <f>Declaration!D71</f>
        <v>Yes</v>
      </c>
      <c r="C51" s="118" t="str">
        <f t="shared" ca="1" si="3"/>
        <v>Complete</v>
      </c>
      <c r="D51" s="128" t="str">
        <f>IF(H51=1,"Click here to answer question (B)","")</f>
        <v/>
      </c>
      <c r="E51" s="100" t="s">
        <v>2677</v>
      </c>
      <c r="F51" s="127">
        <f t="shared" ref="F51:F60" si="7">F$50</f>
        <v>1</v>
      </c>
      <c r="G51" s="97">
        <f t="shared" si="5"/>
        <v>0</v>
      </c>
      <c r="H51" s="98">
        <f t="shared" si="6"/>
        <v>0</v>
      </c>
      <c r="I51" s="246"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7.9" customHeight="1">
      <c r="A52" s="201" t="s">
        <v>6</v>
      </c>
      <c r="B52" s="118" t="str">
        <f>Declaration!G71</f>
        <v>http://www.hitachi.com/procurement/csr/initiative/index.html</v>
      </c>
      <c r="C52" s="118" t="str">
        <f ca="1">IF(H52=1,J52,I52)</f>
        <v>Complete</v>
      </c>
      <c r="D52" s="128" t="str">
        <f>IF(H52=1,"Click here to specify URL for question (B)","")</f>
        <v/>
      </c>
      <c r="E52" s="100"/>
      <c r="F52" s="127">
        <f>IF(AND(F51=1,B51="Yes"),1,0)</f>
        <v>1</v>
      </c>
      <c r="G52" s="97">
        <f>IF(LEN(B52)&gt;1,0,1)</f>
        <v>0</v>
      </c>
      <c r="H52" s="98">
        <f t="shared" si="6"/>
        <v>0</v>
      </c>
      <c r="I52" s="246" t="str">
        <f ca="1">OFFSET(L!$C$1,MATCH("Checker"&amp;"Comp",L!$A:$A,0)-1,SL,,)</f>
        <v>Complete</v>
      </c>
      <c r="J52" s="202" t="str">
        <f ca="1">OFFSET(L!$C$1,MATCH("Checker"&amp;ADDRESS(ROW(),COLUMN(),4),L!$A:$A,0)-1,SL,,)</f>
        <v>Enter the URL in Declaration worksheet cell G71 if you answer "Yes" for question B. The format of the URL should be "www.companyname.com"</v>
      </c>
    </row>
    <row r="53" spans="1:12" ht="37.9" customHeight="1">
      <c r="A53" s="118" t="str">
        <f ca="1">Declaration!B73</f>
        <v>C. Do you require your direct suppliers to be DRC conflict-free? (*)</v>
      </c>
      <c r="B53" s="118" t="str">
        <f>Declaration!D73</f>
        <v>Yes</v>
      </c>
      <c r="C53" s="118" t="str">
        <f t="shared" ca="1" si="3"/>
        <v>Complete</v>
      </c>
      <c r="D53" s="128" t="str">
        <f>IF(H53=1,"Click here to answer question (C)","")</f>
        <v/>
      </c>
      <c r="E53" s="100" t="s">
        <v>2677</v>
      </c>
      <c r="F53" s="127">
        <f t="shared" si="7"/>
        <v>1</v>
      </c>
      <c r="G53" s="97">
        <f t="shared" si="5"/>
        <v>0</v>
      </c>
      <c r="H53" s="98">
        <f t="shared" si="6"/>
        <v>0</v>
      </c>
      <c r="I53" s="246" t="str">
        <f ca="1">OFFSET(L!$C$1,MATCH("Checker"&amp;"Comp",L!$A:$A,0)-1,SL,,)</f>
        <v>Complete</v>
      </c>
      <c r="J53" s="22" t="str">
        <f ca="1">OFFSET(L!$C$1,MATCH("Checker"&amp;ADDRESS(ROW(),COLUMN(),4),L!$A:$A,0)-1,SL,,)</f>
        <v>Answer if you require your direct suppliers to be DRC conflict-free on the Declaration tab cell D73</v>
      </c>
    </row>
    <row r="54" spans="1:12" ht="37.9" customHeight="1">
      <c r="A54" s="118" t="str">
        <f ca="1">Declaration!B75</f>
        <v>D. Do you require your direct suppliers to source the 3TG from smelters whose due diligence practices have been validated by an independent third party audit program? (*)</v>
      </c>
      <c r="B54" s="118" t="str">
        <f>Declaration!D75</f>
        <v>No</v>
      </c>
      <c r="C54" s="118" t="str">
        <f t="shared" ca="1" si="3"/>
        <v>Complete</v>
      </c>
      <c r="D54" s="128" t="str">
        <f>IF(H54=1,"Click here to answer question (D)","")</f>
        <v/>
      </c>
      <c r="E54" s="100" t="s">
        <v>2677</v>
      </c>
      <c r="F54" s="127">
        <f t="shared" si="7"/>
        <v>1</v>
      </c>
      <c r="G54" s="97">
        <f t="shared" si="5"/>
        <v>0</v>
      </c>
      <c r="H54" s="98">
        <f t="shared" si="6"/>
        <v>0</v>
      </c>
      <c r="I54" s="246"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18" t="str">
        <f ca="1">Declaration!B77</f>
        <v>E. Have you implemented due diligence measures for conflict-free sourcing? (*)</v>
      </c>
      <c r="B55" s="118" t="str">
        <f>Declaration!D77</f>
        <v>Yes</v>
      </c>
      <c r="C55" s="118" t="str">
        <f t="shared" ca="1" si="3"/>
        <v>Complete</v>
      </c>
      <c r="D55" s="128" t="str">
        <f>IF(H55=1,"Click here to answer question (E)","")</f>
        <v/>
      </c>
      <c r="E55" s="100" t="s">
        <v>2677</v>
      </c>
      <c r="F55" s="127">
        <f t="shared" si="7"/>
        <v>1</v>
      </c>
      <c r="G55" s="97">
        <f t="shared" si="5"/>
        <v>0</v>
      </c>
      <c r="H55" s="98">
        <f t="shared" si="6"/>
        <v>0</v>
      </c>
      <c r="I55" s="246"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18" t="str">
        <f ca="1">Declaration!B79</f>
        <v>F. Do you collect conflict minerals due diligence information from your suppliers which is in conformance with the IPC-1755 Conflict Minerals Data Exchange standard [e.g., the CFSI Conflict Minerals Reporting Template]? (*)</v>
      </c>
      <c r="B56" s="118" t="str">
        <f>Declaration!D79</f>
        <v>Yes</v>
      </c>
      <c r="C56" s="118" t="str">
        <f t="shared" ca="1" si="3"/>
        <v>Complete</v>
      </c>
      <c r="D56" s="128" t="str">
        <f>IF(H56=1,"Click here to answer question (F)","")</f>
        <v/>
      </c>
      <c r="E56" s="100" t="s">
        <v>2677</v>
      </c>
      <c r="F56" s="127">
        <f t="shared" si="7"/>
        <v>1</v>
      </c>
      <c r="G56" s="97">
        <f t="shared" si="5"/>
        <v>0</v>
      </c>
      <c r="H56" s="98">
        <f t="shared" si="6"/>
        <v>0</v>
      </c>
      <c r="I56" s="246"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18" t="str">
        <f ca="1">Declaration!B81</f>
        <v>G. Do you request smelter names from your suppliers? (*)</v>
      </c>
      <c r="B57" s="118" t="str">
        <f>Declaration!D81</f>
        <v>Yes</v>
      </c>
      <c r="C57" s="118" t="str">
        <f t="shared" ca="1" si="3"/>
        <v>Complete</v>
      </c>
      <c r="D57" s="128" t="str">
        <f>IF(H57=1,"Click here to answer question (G)","")</f>
        <v/>
      </c>
      <c r="E57" s="100" t="s">
        <v>2677</v>
      </c>
      <c r="F57" s="127">
        <f t="shared" si="7"/>
        <v>1</v>
      </c>
      <c r="G57" s="97">
        <f t="shared" si="5"/>
        <v>0</v>
      </c>
      <c r="H57" s="98">
        <f t="shared" si="6"/>
        <v>0</v>
      </c>
      <c r="I57" s="246" t="str">
        <f ca="1">OFFSET(L!$C$1,MATCH("Checker"&amp;"Comp",L!$A:$A,0)-1,SL,,)</f>
        <v>Complete</v>
      </c>
      <c r="J57" s="22" t="str">
        <f ca="1">OFFSET(L!$C$1,MATCH("Checker"&amp;ADDRESS(ROW(),COLUMN(),4),L!$A:$A,0)-1,SL,,)</f>
        <v>Answer if you request smelter names from your suppliers on the declaration tab cell D81</v>
      </c>
    </row>
    <row r="58" spans="1:12" ht="39">
      <c r="A58" s="118" t="str">
        <f ca="1">Declaration!B83</f>
        <v>H. Do you review due diligence information received from your suppliers against your company’s expectations? (*)</v>
      </c>
      <c r="B58" s="118" t="str">
        <f>Declaration!D83</f>
        <v>Yes</v>
      </c>
      <c r="C58" s="118" t="str">
        <f t="shared" ca="1" si="3"/>
        <v>Complete</v>
      </c>
      <c r="D58" s="128" t="str">
        <f>IF(H58=1,"Click here to answer question (H)","")</f>
        <v/>
      </c>
      <c r="E58" s="100" t="s">
        <v>2677</v>
      </c>
      <c r="F58" s="127">
        <f t="shared" si="7"/>
        <v>1</v>
      </c>
      <c r="G58" s="97">
        <f t="shared" si="5"/>
        <v>0</v>
      </c>
      <c r="H58" s="98">
        <f t="shared" si="6"/>
        <v>0</v>
      </c>
      <c r="I58" s="246"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18" t="str">
        <f ca="1">Declaration!B85</f>
        <v>I. Does your review process include corrective action management? (*)</v>
      </c>
      <c r="B59" s="118" t="str">
        <f>Declaration!D85</f>
        <v>No</v>
      </c>
      <c r="C59" s="118" t="str">
        <f t="shared" ca="1" si="3"/>
        <v>Complete</v>
      </c>
      <c r="D59" s="128" t="str">
        <f>IF(H59=1,"Click here to answer question (I)","")</f>
        <v/>
      </c>
      <c r="E59" s="100" t="s">
        <v>2677</v>
      </c>
      <c r="F59" s="127">
        <f t="shared" si="7"/>
        <v>1</v>
      </c>
      <c r="G59" s="97">
        <f t="shared" si="5"/>
        <v>0</v>
      </c>
      <c r="H59" s="98">
        <f t="shared" si="6"/>
        <v>0</v>
      </c>
      <c r="I59" s="246" t="str">
        <f ca="1">OFFSET(L!$C$1,MATCH("Checker"&amp;"Comp",L!$A:$A,0)-1,SL,,)</f>
        <v>Complete</v>
      </c>
      <c r="J59" s="22" t="str">
        <f ca="1">OFFSET(L!$C$1,MATCH("Checker"&amp;ADDRESS(ROW(),COLUMN(),4),L!$A:$A,0)-1,SL,,)</f>
        <v>Answer if your verification process includes corrective action management on Declaration tab cell D85</v>
      </c>
    </row>
    <row r="60" spans="1:12" ht="39">
      <c r="A60" s="118" t="str">
        <f ca="1">Declaration!B87</f>
        <v>J. Are you subject to the SEC Conflict Minerals rule? (*)</v>
      </c>
      <c r="B60" s="118" t="str">
        <f>Declaration!D87</f>
        <v>No</v>
      </c>
      <c r="C60" s="118" t="str">
        <f t="shared" ca="1" si="3"/>
        <v>Complete</v>
      </c>
      <c r="D60" s="128" t="str">
        <f>IF(H60=1,"Click here to answer question (J)","")</f>
        <v/>
      </c>
      <c r="E60" s="100" t="s">
        <v>2677</v>
      </c>
      <c r="F60" s="127">
        <f t="shared" si="7"/>
        <v>1</v>
      </c>
      <c r="G60" s="97">
        <f t="shared" si="5"/>
        <v>0</v>
      </c>
      <c r="H60" s="98">
        <f t="shared" si="6"/>
        <v>0</v>
      </c>
      <c r="I60" s="246" t="str">
        <f ca="1">OFFSET(L!$C$1,MATCH("Checker"&amp;"Comp",L!$A:$A,0)-1,SL,,)</f>
        <v>Complete</v>
      </c>
      <c r="J60" s="22" t="str">
        <f ca="1">OFFSET(L!$C$1,MATCH("Checker"&amp;ADDRESS(ROW(),COLUMN(),4),L!$A:$A,0)-1,SL,,)</f>
        <v>Answer if you are subject to the SEC Disclosure requirement on Declaration tab cell D87</v>
      </c>
    </row>
    <row r="61" spans="1:12" ht="39">
      <c r="A61" s="119" t="s">
        <v>2615</v>
      </c>
      <c r="B61" s="118" t="str">
        <f>IF(G61=1,"No products or item numbers listed","One or more product / item numbers have been provided")</f>
        <v>No products or item numbers listed</v>
      </c>
      <c r="C61" s="118" t="str">
        <f t="shared" ca="1" si="3"/>
        <v>Complete</v>
      </c>
      <c r="D61" s="128" t="str">
        <f>IF(H61=1,"Click here to enter detail on Product List tab","")</f>
        <v/>
      </c>
      <c r="E61" s="100" t="s">
        <v>2677</v>
      </c>
      <c r="F61" s="127">
        <f>IF(B5=Declaration!Q9,1,0)</f>
        <v>0</v>
      </c>
      <c r="G61" s="97">
        <f>IF('Product List'!B6="",1,0)</f>
        <v>1</v>
      </c>
      <c r="H61" s="98">
        <f t="shared" si="6"/>
        <v>0</v>
      </c>
      <c r="I61" s="246"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55" t="s">
        <v>3835</v>
      </c>
      <c r="B62" s="118"/>
      <c r="C62" s="256" t="str">
        <f ca="1">IF(AND(Declaration!D26&lt;&gt;"Yes",Declaration!D26&lt;&gt;"No",Declaration!D32&lt;&gt;"Yes",Declaration!D32&lt;&gt;"Yes"),L62,IF(K62=0,"Not Required",IF(AND(OR(B15="Yes",B20="Yes"),(COUNTIF(SmelterIdetifiedForMetal,"Tantalum")&lt;1)),J62,I62)))</f>
        <v>Complete</v>
      </c>
      <c r="D62" s="128" t="str">
        <f>IF(H62=0,"","Click here to provide smelter information")</f>
        <v/>
      </c>
      <c r="E62" s="100" t="s">
        <v>2677</v>
      </c>
      <c r="F62" s="127">
        <f>F$50</f>
        <v>1</v>
      </c>
      <c r="G62" s="97">
        <f>IF(COUNTIF('Smelter List'!C5:C14,"")&lt;10,0,1)</f>
        <v>0</v>
      </c>
      <c r="H62" s="98">
        <f>IF(AND(OR(Declaration!D26="Yes",Declaration!D32="Yes"),(COUNTIF(SmelterIdetifiedForMetal,"Tantalum")&lt;1)),(1*K62),(0*K62))</f>
        <v>0</v>
      </c>
      <c r="I62" s="246" t="str">
        <f ca="1">OFFSET(L!$C$1,MATCH("Checker"&amp;"Comp",L!$A:$A,0)-1,SL,,)</f>
        <v>Complete</v>
      </c>
      <c r="J62" s="22" t="str">
        <f ca="1">OFFSET(L!$C$1,MATCH("Checker"&amp;ADDRESS(ROW(),COLUMN(),4),L!$A:$A,0)-1,SL,,)</f>
        <v>Provide list of tantalum smelters contributing material to supply chain on Smelter List tab</v>
      </c>
      <c r="K62" s="254">
        <f>IF(AND(Declaration!D26="No",Declaration!D32="No"),0,1)</f>
        <v>1</v>
      </c>
      <c r="L62" s="22" t="str">
        <f ca="1">OFFSET(L!$C$1,MATCH("Checker"&amp;ADDRESS(ROW(),COLUMN(),4),L!$A:$A,0)-1,SL,,)</f>
        <v>Please answer Questions 1 and 2 on Declaration tab</v>
      </c>
    </row>
    <row r="63" spans="1:12" ht="39">
      <c r="A63" s="255" t="s">
        <v>3836</v>
      </c>
      <c r="B63" s="118"/>
      <c r="C63" s="256" t="str">
        <f ca="1">IF(AND(Declaration!D27&lt;&gt;"Yes",Declaration!D27&lt;&gt;"No",Declaration!D33&lt;&gt;"Yes",Declaration!D33&lt;&gt;"Yes"),L63,IF(K63=0,"Not Required",IF(AND(OR(B16="Yes",B21="Yes"),(COUNTIF(SmelterIdetifiedForMetal,"Tin")&lt;1)),J63,I63)))</f>
        <v>Complete</v>
      </c>
      <c r="D63" s="128" t="str">
        <f>IF(H63=0,"","Click here to provide smelter information")</f>
        <v/>
      </c>
      <c r="E63" s="100" t="s">
        <v>1557</v>
      </c>
      <c r="F63" s="127">
        <f>F$50</f>
        <v>1</v>
      </c>
      <c r="G63" s="97">
        <f>IF(COUNTIF('Smelter List'!C6:C15,"")&lt;10,0,1)</f>
        <v>0</v>
      </c>
      <c r="H63" s="98">
        <f>IF(AND(OR(Declaration!D27="Yes",Declaration!D33="Yes"),(COUNTIF(SmelterIdetifiedForMetal,"Tin")&lt;1)),(1*K63),(0*K63))</f>
        <v>0</v>
      </c>
      <c r="I63" s="246" t="str">
        <f ca="1">OFFSET(L!$C$1,MATCH("Checker"&amp;"Comp",L!$A:$A,0)-1,SL,,)</f>
        <v>Complete</v>
      </c>
      <c r="J63" s="22" t="str">
        <f ca="1">OFFSET(L!$C$1,MATCH("Checker"&amp;ADDRESS(ROW(),COLUMN(),4),L!$A:$A,0)-1,SL,,)</f>
        <v>Provide list of tin smelters contributing material to supply chain on Smelter List tab</v>
      </c>
      <c r="K63" s="254">
        <f>IF(AND(Declaration!D27="No",Declaration!D33="No"),0,1)</f>
        <v>1</v>
      </c>
      <c r="L63" s="22" t="str">
        <f ca="1">OFFSET(L!$C$1,MATCH("Checker"&amp;ADDRESS(ROW(),COLUMN(),4),L!$A:$A,0)-1,SL,,)</f>
        <v>Please answer Questions 1 and 2 on Declaration tab</v>
      </c>
    </row>
    <row r="64" spans="1:12" ht="39">
      <c r="A64" s="255" t="s">
        <v>3837</v>
      </c>
      <c r="B64" s="118"/>
      <c r="C64" s="256" t="str">
        <f ca="1">IF(AND(Declaration!D28&lt;&gt;"Yes",Declaration!D28&lt;&gt;"No",Declaration!D34&lt;&gt;"Yes",Declaration!D34&lt;&gt;"Yes"),L64,IF(K64=0,"Not Required",IF(AND(OR(B17="Yes",B22="Yes"),(COUNTIF(SmelterIdetifiedForMetal,"Gold")&lt;1)),J64,I64)))</f>
        <v>Complete</v>
      </c>
      <c r="D64" s="128" t="str">
        <f>IF(H64=0,"","Click here to provide smelter information")</f>
        <v/>
      </c>
      <c r="E64" s="100" t="s">
        <v>1557</v>
      </c>
      <c r="F64" s="127">
        <f>F$50</f>
        <v>1</v>
      </c>
      <c r="G64" s="97">
        <f>IF(COUNTIF('Smelter List'!C7:C16,"")&lt;10,0,1)</f>
        <v>0</v>
      </c>
      <c r="H64" s="98">
        <f>IF(AND(OR(Declaration!D28="Yes",Declaration!D34="Yes"),(COUNTIF(SmelterIdetifiedForMetal,"Gold")&lt;1)),(1*K64),(0*K64))</f>
        <v>0</v>
      </c>
      <c r="I64" s="246" t="str">
        <f ca="1">OFFSET(L!$C$1,MATCH("Checker"&amp;"Comp",L!$A:$A,0)-1,SL,,)</f>
        <v>Complete</v>
      </c>
      <c r="J64" s="22" t="str">
        <f ca="1">OFFSET(L!$C$1,MATCH("Checker"&amp;ADDRESS(ROW(),COLUMN(),4),L!$A:$A,0)-1,SL,,)</f>
        <v>Provide list of gold smelters contributing material to supply chain on Smelter List tab</v>
      </c>
      <c r="K64" s="254">
        <f>IF(AND(Declaration!D28="No",Declaration!D34="No"),0,1)</f>
        <v>1</v>
      </c>
      <c r="L64" s="22" t="str">
        <f ca="1">OFFSET(L!$C$1,MATCH("Checker"&amp;ADDRESS(ROW(),COLUMN(),4),L!$A:$A,0)-1,SL,,)</f>
        <v>Please answer Questions 1 and 2 on Declaration tab</v>
      </c>
    </row>
    <row r="65" spans="1:12" ht="39">
      <c r="A65" s="255" t="s">
        <v>3838</v>
      </c>
      <c r="B65" s="118"/>
      <c r="C65" s="256" t="str">
        <f ca="1">IF(AND(Declaration!D29&lt;&gt;"Yes",Declaration!D29&lt;&gt;"No",Declaration!D35&lt;&gt;"Yes",Declaration!D35&lt;&gt;"Yes"),L65,IF(K65=0,"Not Required",IF(AND(OR(B18="Yes",B23="Yes"),(COUNTIF(SmelterIdetifiedForMetal,"Tungsten")&lt;1)),J65,I65)))</f>
        <v>Complete</v>
      </c>
      <c r="D65" s="128" t="str">
        <f>IF(H65=0,"","Click here to provide smelter information")</f>
        <v/>
      </c>
      <c r="E65" s="100" t="s">
        <v>1557</v>
      </c>
      <c r="F65" s="127">
        <f>F$50</f>
        <v>1</v>
      </c>
      <c r="G65" s="97">
        <f>IF(COUNTIF('Smelter List'!C8:C17,"")&lt;10,0,1)</f>
        <v>0</v>
      </c>
      <c r="H65" s="98">
        <f>IF(AND(OR(Declaration!D29="Yes",Declaration!D35="Yes"),(COUNTIF(SmelterIdetifiedForMetal,"Tungsten")&lt;1)),(1*K65),(0*K65))</f>
        <v>0</v>
      </c>
      <c r="I65" s="246" t="str">
        <f ca="1">OFFSET(L!$C$1,MATCH("Checker"&amp;"Comp",L!$A:$A,0)-1,SL,,)</f>
        <v>Complete</v>
      </c>
      <c r="J65" s="22" t="str">
        <f ca="1">OFFSET(L!$C$1,MATCH("Checker"&amp;ADDRESS(ROW(),COLUMN(),4),L!$A:$A,0)-1,SL,,)</f>
        <v>Provide list of tungsten smelters contributing material to supply chain on Smelter List tab</v>
      </c>
      <c r="K65" s="254">
        <f>IF(AND(Declaration!D29="No",Declaration!D35="No"),0,1)</f>
        <v>1</v>
      </c>
      <c r="L65" s="22" t="str">
        <f ca="1">OFFSET(L!$C$1,MATCH("Checker"&amp;ADDRESS(ROW(),COLUMN(),4),L!$A:$A,0)-1,SL,,)</f>
        <v>Please answer Questions 1 and 2 on Declaration tab</v>
      </c>
    </row>
    <row r="66" spans="1:12">
      <c r="H66" s="22">
        <f>SUM(H4:H65)</f>
        <v>0</v>
      </c>
    </row>
    <row r="67" spans="1:12">
      <c r="A67" s="24"/>
    </row>
    <row r="68" spans="1:12">
      <c r="A68" s="24"/>
    </row>
    <row r="69" spans="1:12">
      <c r="A69" s="24"/>
    </row>
  </sheetData>
  <sheetProtection password="E815" sheet="1" formatColumns="0" formatRows="0" autoFilter="0"/>
  <mergeCells count="1">
    <mergeCell ref="A1:C1"/>
  </mergeCells>
  <phoneticPr fontId="31"/>
  <conditionalFormatting sqref="B62">
    <cfRule type="expression" dxfId="16" priority="329" stopIfTrue="1">
      <formula>IF(F62=0,TRUE)</formula>
    </cfRule>
  </conditionalFormatting>
  <conditionalFormatting sqref="A5:A13">
    <cfRule type="expression" dxfId="15" priority="37" stopIfTrue="1">
      <formula>$F5=0</formula>
    </cfRule>
    <cfRule type="expression" dxfId="14" priority="38" stopIfTrue="1">
      <formula>AND($F5=1,$G5=0)</formula>
    </cfRule>
    <cfRule type="expression" dxfId="13" priority="39" stopIfTrue="1">
      <formula>AND($F5&lt;&gt;0,$G5&lt;&gt;0)</formula>
    </cfRule>
  </conditionalFormatting>
  <conditionalFormatting sqref="B61">
    <cfRule type="expression" dxfId="12" priority="35" stopIfTrue="1">
      <formula>$F61=0</formula>
    </cfRule>
  </conditionalFormatting>
  <conditionalFormatting sqref="D52">
    <cfRule type="expression" dxfId="11" priority="346" stopIfTrue="1">
      <formula>$H$52=0</formula>
    </cfRule>
  </conditionalFormatting>
  <conditionalFormatting sqref="B63">
    <cfRule type="expression" dxfId="10" priority="27" stopIfTrue="1">
      <formula>IF(F63=0,TRUE)</formula>
    </cfRule>
  </conditionalFormatting>
  <conditionalFormatting sqref="B64">
    <cfRule type="expression" dxfId="9" priority="23" stopIfTrue="1">
      <formula>IF(F64=0,TRUE)</formula>
    </cfRule>
  </conditionalFormatting>
  <conditionalFormatting sqref="B65">
    <cfRule type="expression" dxfId="8" priority="19" stopIfTrue="1">
      <formula>IF(F65=0,TRUE)</formula>
    </cfRule>
  </conditionalFormatting>
  <conditionalFormatting sqref="C62:C65">
    <cfRule type="expression" dxfId="7" priority="1" stopIfTrue="1">
      <formula>C62="Not Required"</formula>
    </cfRule>
    <cfRule type="expression" dxfId="6" priority="9" stopIfTrue="1">
      <formula>OR(C62="Complete",C62="填写", C62="記入",C62="완료",C62="Complétez",C62="Concluído",C62="Vollständig",C62="Completare")</formula>
    </cfRule>
  </conditionalFormatting>
  <conditionalFormatting sqref="A62:A65">
    <cfRule type="expression" dxfId="5" priority="2" stopIfTrue="1">
      <formula>C62="Not Required"</formula>
    </cfRule>
    <cfRule type="expression" dxfId="4" priority="10" stopIfTrue="1">
      <formula>OR(C62="Complete",C62="填写", C62="記入",C62="완료",C62="Complétez",C62="Concluído",C62="Vollständig",C62="Completare")</formula>
    </cfRule>
  </conditionalFormatting>
  <conditionalFormatting sqref="A4 A15:A18 A50:A61 C15:C18 A20:A23 C25:C28 A35:A38 A40:A43 C50:C61 C20:C23 A30:A33 C35:C38 C40:C43 A25:A28 C30:C33 C45:C48 A45:A48 C4:C13">
    <cfRule type="expression" dxfId="3" priority="335" stopIfTrue="1">
      <formula>$F4=0</formula>
    </cfRule>
    <cfRule type="expression" dxfId="2" priority="336" stopIfTrue="1">
      <formula>$H4=0</formula>
    </cfRule>
    <cfRule type="expression" dxfId="1" priority="337" stopIfTrue="1">
      <formula>$H4=1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37" customWidth="1"/>
    <col min="2" max="2" width="39.875" style="138" customWidth="1"/>
    <col min="3" max="3" width="39.875" style="137" customWidth="1"/>
    <col min="4" max="4" width="58.75" style="137" customWidth="1"/>
    <col min="5" max="5" width="1.625" style="137" customWidth="1"/>
    <col min="6" max="35" width="9" customWidth="1"/>
    <col min="36" max="16384" width="8.75" style="26"/>
  </cols>
  <sheetData>
    <row r="1" spans="1:35" ht="34.9" customHeight="1" thickTop="1">
      <c r="A1" s="396" t="str">
        <f ca="1">OFFSET(L!$C$1,MATCH("Product List"&amp;ADDRESS(ROW(),COLUMN(),4),L!$A:$A,0)-1,SL,,)</f>
        <v>Completion required only if reporting level "Product (or List of Products)" selected on the 'Declaration' worksheet.</v>
      </c>
      <c r="B1" s="397"/>
      <c r="C1" s="397"/>
      <c r="D1" s="397"/>
      <c r="E1" s="166"/>
    </row>
    <row r="2" spans="1:35">
      <c r="A2" s="29"/>
      <c r="B2" s="172"/>
      <c r="C2" s="172"/>
      <c r="D2"/>
      <c r="E2" s="30"/>
    </row>
    <row r="3" spans="1:35">
      <c r="A3" s="29"/>
      <c r="B3" s="172"/>
      <c r="C3" s="172"/>
      <c r="D3" s="172"/>
      <c r="E3" s="30"/>
    </row>
    <row r="4" spans="1:35" ht="15.75" customHeight="1">
      <c r="A4" s="29"/>
      <c r="B4" s="395" t="s">
        <v>1887</v>
      </c>
      <c r="C4" s="395"/>
      <c r="D4" s="395"/>
      <c r="E4" s="30"/>
    </row>
    <row r="5" spans="1:35" ht="15.75">
      <c r="A5" s="187"/>
      <c r="B5" s="190" t="str">
        <f ca="1">OFFSET(L!$C$1,MATCH("Product List"&amp;ADDRESS(ROW(),COLUMN(),4),L!$A:$A,0)-1,SL,,)</f>
        <v>Manufacturer’s Product Number (*)</v>
      </c>
      <c r="C5" s="190" t="str">
        <f ca="1">OFFSET(L!$C$1,MATCH("Product List"&amp;ADDRESS(ROW(),COLUMN(),4),L!$A:$A,0)-1,SL,,)</f>
        <v>Manufacturer’s Product Name</v>
      </c>
      <c r="D5" s="101" t="str">
        <f ca="1">OFFSET(L!$C$1,MATCH("Product List"&amp;ADDRESS(ROW(),COLUMN(),4),L!$A:$A,0)-1,SL,,)</f>
        <v>Comments</v>
      </c>
      <c r="E5" s="30"/>
    </row>
    <row r="6" spans="1:35" s="33" customFormat="1" ht="15.75">
      <c r="A6" s="184"/>
      <c r="B6" s="173"/>
      <c r="C6" s="132"/>
      <c r="D6" s="132"/>
      <c r="E6" s="32"/>
      <c r="F6"/>
      <c r="G6"/>
      <c r="H6"/>
      <c r="I6"/>
      <c r="J6"/>
      <c r="K6"/>
      <c r="L6"/>
      <c r="M6"/>
      <c r="N6"/>
      <c r="O6"/>
      <c r="P6"/>
      <c r="Q6"/>
      <c r="R6"/>
      <c r="S6"/>
      <c r="T6"/>
      <c r="U6"/>
      <c r="V6"/>
      <c r="W6"/>
      <c r="X6"/>
      <c r="Y6"/>
      <c r="Z6"/>
      <c r="AA6"/>
      <c r="AB6"/>
      <c r="AC6"/>
      <c r="AD6"/>
      <c r="AE6"/>
      <c r="AF6"/>
      <c r="AG6"/>
      <c r="AH6"/>
      <c r="AI6"/>
    </row>
    <row r="7" spans="1:35" s="33" customFormat="1" ht="15.75">
      <c r="A7" s="185"/>
      <c r="B7" s="173"/>
      <c r="C7" s="132"/>
      <c r="D7" s="132"/>
      <c r="E7" s="32"/>
      <c r="F7"/>
      <c r="G7"/>
      <c r="H7"/>
      <c r="I7"/>
      <c r="J7"/>
      <c r="K7"/>
      <c r="L7"/>
      <c r="M7"/>
      <c r="N7"/>
      <c r="O7"/>
      <c r="P7"/>
      <c r="Q7"/>
      <c r="R7"/>
      <c r="S7"/>
      <c r="T7"/>
      <c r="U7"/>
      <c r="V7"/>
      <c r="W7"/>
      <c r="X7"/>
      <c r="Y7"/>
      <c r="Z7"/>
      <c r="AA7"/>
      <c r="AB7"/>
      <c r="AC7"/>
      <c r="AD7"/>
      <c r="AE7"/>
      <c r="AF7"/>
      <c r="AG7"/>
      <c r="AH7"/>
      <c r="AI7"/>
    </row>
    <row r="8" spans="1:35" s="33" customFormat="1" ht="15.75">
      <c r="A8" s="185"/>
      <c r="B8" s="173"/>
      <c r="C8" s="132"/>
      <c r="D8" s="132"/>
      <c r="E8" s="32"/>
      <c r="F8"/>
      <c r="G8"/>
      <c r="H8"/>
      <c r="I8"/>
      <c r="J8"/>
      <c r="K8"/>
      <c r="L8"/>
      <c r="M8"/>
      <c r="N8"/>
      <c r="O8"/>
      <c r="P8"/>
      <c r="Q8"/>
      <c r="R8"/>
      <c r="S8"/>
      <c r="T8"/>
      <c r="U8"/>
      <c r="V8"/>
      <c r="W8"/>
      <c r="X8"/>
      <c r="Y8"/>
      <c r="Z8"/>
      <c r="AA8"/>
      <c r="AB8"/>
      <c r="AC8"/>
      <c r="AD8"/>
      <c r="AE8"/>
      <c r="AF8"/>
      <c r="AG8"/>
      <c r="AH8"/>
      <c r="AI8"/>
    </row>
    <row r="9" spans="1:35" s="33" customFormat="1" ht="15.75">
      <c r="A9" s="185"/>
      <c r="B9" s="173"/>
      <c r="C9" s="132"/>
      <c r="D9" s="132"/>
      <c r="E9" s="32"/>
      <c r="F9"/>
      <c r="G9"/>
      <c r="H9"/>
      <c r="I9"/>
      <c r="J9"/>
      <c r="K9"/>
      <c r="L9"/>
      <c r="M9"/>
      <c r="N9"/>
      <c r="O9"/>
      <c r="P9"/>
      <c r="Q9"/>
      <c r="R9"/>
      <c r="S9"/>
      <c r="T9"/>
      <c r="U9"/>
      <c r="V9"/>
      <c r="W9"/>
      <c r="X9"/>
      <c r="Y9"/>
      <c r="Z9"/>
      <c r="AA9"/>
      <c r="AB9"/>
      <c r="AC9"/>
      <c r="AD9"/>
      <c r="AE9"/>
      <c r="AF9"/>
      <c r="AG9"/>
      <c r="AH9"/>
      <c r="AI9"/>
    </row>
    <row r="10" spans="1:35" s="33" customFormat="1" ht="15.75">
      <c r="A10" s="185"/>
      <c r="B10" s="173"/>
      <c r="C10" s="132"/>
      <c r="D10" s="132"/>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85"/>
      <c r="B11" s="173"/>
      <c r="C11" s="132"/>
      <c r="D11" s="132"/>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85"/>
      <c r="B12" s="173"/>
      <c r="C12" s="132"/>
      <c r="D12" s="132"/>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85"/>
      <c r="B13" s="173"/>
      <c r="C13" s="132"/>
      <c r="D13" s="132"/>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85"/>
      <c r="B14" s="173"/>
      <c r="C14" s="132"/>
      <c r="D14" s="132"/>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85"/>
      <c r="B15" s="173"/>
      <c r="C15" s="132"/>
      <c r="D15" s="132"/>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85"/>
      <c r="B16" s="173"/>
      <c r="C16" s="132"/>
      <c r="D16" s="132"/>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85"/>
      <c r="B17" s="173"/>
      <c r="C17" s="132"/>
      <c r="D17" s="132"/>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85"/>
      <c r="B18" s="173"/>
      <c r="C18" s="132"/>
      <c r="D18" s="132"/>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85"/>
      <c r="B19" s="173"/>
      <c r="C19" s="132"/>
      <c r="D19" s="132"/>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85"/>
      <c r="B20" s="173"/>
      <c r="C20" s="132"/>
      <c r="D20" s="132"/>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85"/>
      <c r="B21" s="173"/>
      <c r="C21" s="132"/>
      <c r="D21" s="132"/>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85"/>
      <c r="B22" s="173"/>
      <c r="C22" s="132"/>
      <c r="D22" s="132"/>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85"/>
      <c r="B23" s="173"/>
      <c r="C23" s="132"/>
      <c r="D23" s="132"/>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85"/>
      <c r="B24" s="173"/>
      <c r="C24" s="132"/>
      <c r="D24" s="132"/>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85"/>
      <c r="B25" s="173"/>
      <c r="C25" s="132"/>
      <c r="D25" s="132"/>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85"/>
      <c r="B26" s="173"/>
      <c r="C26" s="132"/>
      <c r="D26" s="132"/>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85"/>
      <c r="B27" s="173"/>
      <c r="C27" s="132"/>
      <c r="D27" s="132"/>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85"/>
      <c r="B28" s="173"/>
      <c r="C28" s="132"/>
      <c r="D28" s="132"/>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85"/>
      <c r="B29" s="173"/>
      <c r="C29" s="132"/>
      <c r="D29" s="132"/>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85"/>
      <c r="B30" s="173"/>
      <c r="C30" s="132"/>
      <c r="D30" s="132"/>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85"/>
      <c r="B31" s="173"/>
      <c r="C31" s="132"/>
      <c r="D31" s="132"/>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85"/>
      <c r="B32" s="173"/>
      <c r="C32" s="132"/>
      <c r="D32" s="132"/>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85"/>
      <c r="B33" s="173"/>
      <c r="C33" s="132"/>
      <c r="D33" s="132"/>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85"/>
      <c r="B34" s="173"/>
      <c r="C34" s="132"/>
      <c r="D34" s="132"/>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85"/>
      <c r="B35" s="173"/>
      <c r="C35" s="132"/>
      <c r="D35" s="132"/>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85"/>
      <c r="B36" s="173"/>
      <c r="C36" s="132"/>
      <c r="D36" s="132"/>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85"/>
      <c r="B37" s="173"/>
      <c r="C37" s="132"/>
      <c r="D37" s="132"/>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85"/>
      <c r="B38" s="173"/>
      <c r="C38" s="132"/>
      <c r="D38" s="132"/>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85"/>
      <c r="B39" s="173"/>
      <c r="C39" s="132"/>
      <c r="D39" s="132"/>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85"/>
      <c r="B40" s="173"/>
      <c r="C40" s="132"/>
      <c r="D40" s="132"/>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85"/>
      <c r="B41" s="173"/>
      <c r="C41" s="132"/>
      <c r="D41" s="132"/>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85"/>
      <c r="B42" s="173"/>
      <c r="C42" s="132"/>
      <c r="D42" s="132"/>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85"/>
      <c r="B43" s="173"/>
      <c r="C43" s="132"/>
      <c r="D43" s="132"/>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85"/>
      <c r="B44" s="173"/>
      <c r="C44" s="132"/>
      <c r="D44" s="132"/>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85"/>
      <c r="B45" s="173"/>
      <c r="C45" s="132"/>
      <c r="D45" s="132"/>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85"/>
      <c r="B46" s="173"/>
      <c r="C46" s="132"/>
      <c r="D46" s="132"/>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85"/>
      <c r="B47" s="173"/>
      <c r="C47" s="132"/>
      <c r="D47" s="132"/>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85"/>
      <c r="B48" s="173"/>
      <c r="C48" s="132"/>
      <c r="D48" s="132"/>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85"/>
      <c r="B49" s="173"/>
      <c r="C49" s="132"/>
      <c r="D49" s="132"/>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85"/>
      <c r="B50" s="173"/>
      <c r="C50" s="132"/>
      <c r="D50" s="132"/>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85"/>
      <c r="B51" s="173"/>
      <c r="C51" s="132"/>
      <c r="D51" s="132"/>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85"/>
      <c r="B52" s="173"/>
      <c r="C52" s="132"/>
      <c r="D52" s="132"/>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85"/>
      <c r="B53" s="173"/>
      <c r="C53" s="132"/>
      <c r="D53" s="132"/>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85"/>
      <c r="B54" s="173"/>
      <c r="C54" s="132"/>
      <c r="D54" s="132"/>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85"/>
      <c r="B55" s="173"/>
      <c r="C55" s="132"/>
      <c r="D55" s="132"/>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85"/>
      <c r="B56" s="173"/>
      <c r="C56" s="132"/>
      <c r="D56" s="132"/>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85"/>
      <c r="B57" s="173"/>
      <c r="C57" s="132"/>
      <c r="D57" s="132"/>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85"/>
      <c r="B58" s="173"/>
      <c r="C58" s="132"/>
      <c r="D58" s="132"/>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85"/>
      <c r="B59" s="173"/>
      <c r="C59" s="132"/>
      <c r="D59" s="132"/>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85"/>
      <c r="B60" s="173"/>
      <c r="C60" s="132"/>
      <c r="D60" s="132"/>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85"/>
      <c r="B61" s="173"/>
      <c r="C61" s="132"/>
      <c r="D61" s="132"/>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85"/>
      <c r="B62" s="173"/>
      <c r="C62" s="132"/>
      <c r="D62" s="132"/>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85"/>
      <c r="B63" s="173"/>
      <c r="C63" s="132"/>
      <c r="D63" s="132"/>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85"/>
      <c r="B64" s="173"/>
      <c r="C64" s="132"/>
      <c r="D64" s="132"/>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85"/>
      <c r="B65" s="173"/>
      <c r="C65" s="132"/>
      <c r="D65" s="132"/>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85"/>
      <c r="B66" s="173"/>
      <c r="C66" s="132"/>
      <c r="D66" s="132"/>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85"/>
      <c r="B67" s="173"/>
      <c r="C67" s="132"/>
      <c r="D67" s="132"/>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85"/>
      <c r="B68" s="173"/>
      <c r="C68" s="132"/>
      <c r="D68" s="132"/>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85"/>
      <c r="B69" s="173"/>
      <c r="C69" s="132"/>
      <c r="D69" s="132"/>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85"/>
      <c r="B70" s="173"/>
      <c r="C70" s="132"/>
      <c r="D70" s="132"/>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85"/>
      <c r="B71" s="173"/>
      <c r="C71" s="132"/>
      <c r="D71" s="132"/>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85"/>
      <c r="B72" s="173"/>
      <c r="C72" s="132"/>
      <c r="D72" s="132"/>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85"/>
      <c r="B73" s="173"/>
      <c r="C73" s="132"/>
      <c r="D73" s="132"/>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85"/>
      <c r="B74" s="173"/>
      <c r="C74" s="132"/>
      <c r="D74" s="132"/>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85"/>
      <c r="B75" s="173"/>
      <c r="C75" s="132"/>
      <c r="D75" s="132"/>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85"/>
      <c r="B76" s="173"/>
      <c r="C76" s="132"/>
      <c r="D76" s="132"/>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85"/>
      <c r="B77" s="173"/>
      <c r="C77" s="132"/>
      <c r="D77" s="132"/>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85"/>
      <c r="B78" s="173"/>
      <c r="C78" s="132"/>
      <c r="D78" s="132"/>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85"/>
      <c r="B79" s="173"/>
      <c r="C79" s="132"/>
      <c r="D79" s="132"/>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85"/>
      <c r="B80" s="173"/>
      <c r="C80" s="132"/>
      <c r="D80" s="132"/>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85"/>
      <c r="B81" s="173"/>
      <c r="C81" s="132"/>
      <c r="D81" s="132"/>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85"/>
      <c r="B82" s="173"/>
      <c r="C82" s="132"/>
      <c r="D82" s="132"/>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85"/>
      <c r="B83" s="173"/>
      <c r="C83" s="132"/>
      <c r="D83" s="132"/>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85"/>
      <c r="B84" s="173"/>
      <c r="C84" s="132"/>
      <c r="D84" s="132"/>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85"/>
      <c r="B85" s="173"/>
      <c r="C85" s="132"/>
      <c r="D85" s="132"/>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85"/>
      <c r="B86" s="173"/>
      <c r="C86" s="132"/>
      <c r="D86" s="132"/>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85"/>
      <c r="B87" s="173"/>
      <c r="C87" s="132"/>
      <c r="D87" s="132"/>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85"/>
      <c r="B88" s="173"/>
      <c r="C88" s="132"/>
      <c r="D88" s="132"/>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85"/>
      <c r="B89" s="173"/>
      <c r="C89" s="132"/>
      <c r="D89" s="132"/>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85"/>
      <c r="B90" s="173"/>
      <c r="C90" s="132"/>
      <c r="D90" s="132"/>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85"/>
      <c r="B91" s="173"/>
      <c r="C91" s="132"/>
      <c r="D91" s="132"/>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85"/>
      <c r="B92" s="173"/>
      <c r="C92" s="132"/>
      <c r="D92" s="132"/>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85"/>
      <c r="B93" s="173"/>
      <c r="C93" s="132"/>
      <c r="D93" s="132"/>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85"/>
      <c r="B94" s="173"/>
      <c r="C94" s="132"/>
      <c r="D94" s="132"/>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85"/>
      <c r="B95" s="173"/>
      <c r="C95" s="132"/>
      <c r="D95" s="132"/>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85"/>
      <c r="B96" s="173"/>
      <c r="C96" s="132"/>
      <c r="D96" s="132"/>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85"/>
      <c r="B97" s="173"/>
      <c r="C97" s="132"/>
      <c r="D97" s="132"/>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85"/>
      <c r="B98" s="173"/>
      <c r="C98" s="132"/>
      <c r="D98" s="132"/>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85"/>
      <c r="B99" s="173"/>
      <c r="C99" s="132"/>
      <c r="D99" s="132"/>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85"/>
      <c r="B100" s="173"/>
      <c r="C100" s="132"/>
      <c r="D100" s="132"/>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85"/>
      <c r="B101" s="173"/>
      <c r="C101" s="132"/>
      <c r="D101" s="132"/>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85"/>
      <c r="B102" s="173"/>
      <c r="C102" s="132"/>
      <c r="D102" s="132"/>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85"/>
      <c r="B103" s="173"/>
      <c r="C103" s="132"/>
      <c r="D103" s="132"/>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85"/>
      <c r="B104" s="173"/>
      <c r="C104" s="132"/>
      <c r="D104" s="132"/>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85"/>
      <c r="B105" s="173"/>
      <c r="C105" s="132"/>
      <c r="D105" s="132"/>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85"/>
      <c r="B106" s="173"/>
      <c r="C106" s="132"/>
      <c r="D106" s="132"/>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85"/>
      <c r="B107" s="173"/>
      <c r="C107" s="132"/>
      <c r="D107" s="132"/>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85"/>
      <c r="B108" s="173"/>
      <c r="C108" s="132"/>
      <c r="D108" s="132"/>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85"/>
      <c r="B109" s="173"/>
      <c r="C109" s="132"/>
      <c r="D109" s="132"/>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85"/>
      <c r="B110" s="173"/>
      <c r="C110" s="132"/>
      <c r="D110" s="132"/>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85"/>
      <c r="B111" s="173"/>
      <c r="C111" s="132"/>
      <c r="D111" s="132"/>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85"/>
      <c r="B112" s="173"/>
      <c r="C112" s="132"/>
      <c r="D112" s="132"/>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85"/>
      <c r="B113" s="173"/>
      <c r="C113" s="132"/>
      <c r="D113" s="132"/>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85"/>
      <c r="B114" s="173"/>
      <c r="C114" s="132"/>
      <c r="D114" s="132"/>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85"/>
      <c r="B115" s="173"/>
      <c r="C115" s="132"/>
      <c r="D115" s="132"/>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85"/>
      <c r="B116" s="173"/>
      <c r="C116" s="132"/>
      <c r="D116" s="132"/>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85"/>
      <c r="B117" s="173"/>
      <c r="C117" s="132"/>
      <c r="D117" s="132"/>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85"/>
      <c r="B118" s="173"/>
      <c r="C118" s="132"/>
      <c r="D118" s="132"/>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85"/>
      <c r="B119" s="173"/>
      <c r="C119" s="132"/>
      <c r="D119" s="132"/>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85"/>
      <c r="B120" s="173"/>
      <c r="C120" s="132"/>
      <c r="D120" s="132"/>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85"/>
      <c r="B121" s="173"/>
      <c r="C121" s="132"/>
      <c r="D121" s="132"/>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85"/>
      <c r="B122" s="173"/>
      <c r="C122" s="132"/>
      <c r="D122" s="132"/>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85"/>
      <c r="B123" s="173"/>
      <c r="C123" s="132"/>
      <c r="D123" s="132"/>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85"/>
      <c r="B124" s="173"/>
      <c r="C124" s="132"/>
      <c r="D124" s="132"/>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85"/>
      <c r="B125" s="173"/>
      <c r="C125" s="132"/>
      <c r="D125" s="132"/>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85"/>
      <c r="B126" s="173"/>
      <c r="C126" s="132"/>
      <c r="D126" s="132"/>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85"/>
      <c r="B127" s="173"/>
      <c r="C127" s="132"/>
      <c r="D127" s="132"/>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85"/>
      <c r="B128" s="173"/>
      <c r="C128" s="132"/>
      <c r="D128" s="132"/>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85"/>
      <c r="B129" s="173"/>
      <c r="C129" s="132"/>
      <c r="D129" s="132"/>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85"/>
      <c r="B130" s="173"/>
      <c r="C130" s="132"/>
      <c r="D130" s="132"/>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85"/>
      <c r="B131" s="173"/>
      <c r="C131" s="132"/>
      <c r="D131" s="132"/>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85"/>
      <c r="B132" s="173"/>
      <c r="C132" s="132"/>
      <c r="D132" s="132"/>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85"/>
      <c r="B133" s="173"/>
      <c r="C133" s="132"/>
      <c r="D133" s="132"/>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85"/>
      <c r="B134" s="173"/>
      <c r="C134" s="132"/>
      <c r="D134" s="132"/>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85"/>
      <c r="B135" s="173"/>
      <c r="C135" s="132"/>
      <c r="D135" s="132"/>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85"/>
      <c r="B136" s="173"/>
      <c r="C136" s="132"/>
      <c r="D136" s="132"/>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85"/>
      <c r="B137" s="173"/>
      <c r="C137" s="132"/>
      <c r="D137" s="132"/>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85"/>
      <c r="B138" s="173"/>
      <c r="C138" s="132"/>
      <c r="D138" s="132"/>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85"/>
      <c r="B139" s="173"/>
      <c r="C139" s="132"/>
      <c r="D139" s="132"/>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85"/>
      <c r="B140" s="173"/>
      <c r="C140" s="132"/>
      <c r="D140" s="132"/>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85"/>
      <c r="B141" s="173"/>
      <c r="C141" s="132"/>
      <c r="D141" s="132"/>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85"/>
      <c r="B142" s="173"/>
      <c r="C142" s="132"/>
      <c r="D142" s="132"/>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85"/>
      <c r="B143" s="173"/>
      <c r="C143" s="132"/>
      <c r="D143" s="132"/>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85"/>
      <c r="B144" s="173"/>
      <c r="C144" s="132"/>
      <c r="D144" s="132"/>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85"/>
      <c r="B145" s="173"/>
      <c r="C145" s="132"/>
      <c r="D145" s="132"/>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85"/>
      <c r="B146" s="173"/>
      <c r="C146" s="132"/>
      <c r="D146" s="132"/>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85"/>
      <c r="B147" s="173"/>
      <c r="C147" s="132"/>
      <c r="D147" s="132"/>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85"/>
      <c r="B148" s="173"/>
      <c r="C148" s="132"/>
      <c r="D148" s="132"/>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85"/>
      <c r="B149" s="173"/>
      <c r="C149" s="132"/>
      <c r="D149" s="132"/>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85"/>
      <c r="B150" s="173"/>
      <c r="C150" s="132"/>
      <c r="D150" s="132"/>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85"/>
      <c r="B151" s="173"/>
      <c r="C151" s="132"/>
      <c r="D151" s="132"/>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85"/>
      <c r="B152" s="173"/>
      <c r="C152" s="132"/>
      <c r="D152" s="132"/>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85"/>
      <c r="B153" s="173"/>
      <c r="C153" s="132"/>
      <c r="D153" s="132"/>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85"/>
      <c r="B154" s="173"/>
      <c r="C154" s="132"/>
      <c r="D154" s="132"/>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85"/>
      <c r="B155" s="173"/>
      <c r="C155" s="132"/>
      <c r="D155" s="132"/>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85"/>
      <c r="B156" s="173"/>
      <c r="C156" s="132"/>
      <c r="D156" s="132"/>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85"/>
      <c r="B157" s="173"/>
      <c r="C157" s="132"/>
      <c r="D157" s="132"/>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85"/>
      <c r="B158" s="173"/>
      <c r="C158" s="132"/>
      <c r="D158" s="132"/>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85"/>
      <c r="B159" s="173"/>
      <c r="C159" s="132"/>
      <c r="D159" s="132"/>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85"/>
      <c r="B160" s="173"/>
      <c r="C160" s="132"/>
      <c r="D160" s="132"/>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85"/>
      <c r="B161" s="173"/>
      <c r="C161" s="132"/>
      <c r="D161" s="132"/>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85"/>
      <c r="B162" s="173"/>
      <c r="C162" s="132"/>
      <c r="D162" s="132"/>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85"/>
      <c r="B163" s="173"/>
      <c r="C163" s="132"/>
      <c r="D163" s="132"/>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85"/>
      <c r="B164" s="173"/>
      <c r="C164" s="132"/>
      <c r="D164" s="132"/>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85"/>
      <c r="B165" s="173"/>
      <c r="C165" s="132"/>
      <c r="D165" s="132"/>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85"/>
      <c r="B166" s="173"/>
      <c r="C166" s="132"/>
      <c r="D166" s="132"/>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85"/>
      <c r="B167" s="173"/>
      <c r="C167" s="132"/>
      <c r="D167" s="132"/>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85"/>
      <c r="B168" s="173"/>
      <c r="C168" s="132"/>
      <c r="D168" s="132"/>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85"/>
      <c r="B169" s="173"/>
      <c r="C169" s="132"/>
      <c r="D169" s="132"/>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85"/>
      <c r="B170" s="173"/>
      <c r="C170" s="132"/>
      <c r="D170" s="132"/>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85"/>
      <c r="B171" s="173"/>
      <c r="C171" s="132"/>
      <c r="D171" s="132"/>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85"/>
      <c r="B172" s="173"/>
      <c r="C172" s="132"/>
      <c r="D172" s="132"/>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85"/>
      <c r="B173" s="173"/>
      <c r="C173" s="132"/>
      <c r="D173" s="132"/>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85"/>
      <c r="B174" s="173"/>
      <c r="C174" s="132"/>
      <c r="D174" s="132"/>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85"/>
      <c r="B175" s="173"/>
      <c r="C175" s="132"/>
      <c r="D175" s="132"/>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85"/>
      <c r="B176" s="173"/>
      <c r="C176" s="132"/>
      <c r="D176" s="132"/>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85"/>
      <c r="B177" s="173"/>
      <c r="C177" s="132"/>
      <c r="D177" s="132"/>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85"/>
      <c r="B178" s="173"/>
      <c r="C178" s="132"/>
      <c r="D178" s="132"/>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85"/>
      <c r="B179" s="173"/>
      <c r="C179" s="132"/>
      <c r="D179" s="132"/>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85"/>
      <c r="B180" s="173"/>
      <c r="C180" s="132"/>
      <c r="D180" s="132"/>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85"/>
      <c r="B181" s="173"/>
      <c r="C181" s="132"/>
      <c r="D181" s="132"/>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85"/>
      <c r="B182" s="173"/>
      <c r="C182" s="132"/>
      <c r="D182" s="132"/>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85"/>
      <c r="B183" s="173"/>
      <c r="C183" s="132"/>
      <c r="D183" s="132"/>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85"/>
      <c r="B184" s="173"/>
      <c r="C184" s="132"/>
      <c r="D184" s="132"/>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85"/>
      <c r="B185" s="173"/>
      <c r="C185" s="132"/>
      <c r="D185" s="132"/>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85"/>
      <c r="B186" s="173"/>
      <c r="C186" s="132"/>
      <c r="D186" s="132"/>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85"/>
      <c r="B187" s="173"/>
      <c r="C187" s="132"/>
      <c r="D187" s="132"/>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85"/>
      <c r="B188" s="173"/>
      <c r="C188" s="132"/>
      <c r="D188" s="132"/>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85"/>
      <c r="B189" s="173"/>
      <c r="C189" s="132"/>
      <c r="D189" s="132"/>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85"/>
      <c r="B190" s="173"/>
      <c r="C190" s="132"/>
      <c r="D190" s="132"/>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85"/>
      <c r="B191" s="173"/>
      <c r="C191" s="132"/>
      <c r="D191" s="132"/>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85"/>
      <c r="B192" s="173"/>
      <c r="C192" s="132"/>
      <c r="D192" s="132"/>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85"/>
      <c r="B193" s="173"/>
      <c r="C193" s="132"/>
      <c r="D193" s="132"/>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85"/>
      <c r="B194" s="173"/>
      <c r="C194" s="132"/>
      <c r="D194" s="132"/>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85"/>
      <c r="B195" s="173"/>
      <c r="C195" s="132"/>
      <c r="D195" s="132"/>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85"/>
      <c r="B196" s="173"/>
      <c r="C196" s="132"/>
      <c r="D196" s="132"/>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85"/>
      <c r="B197" s="173"/>
      <c r="C197" s="132"/>
      <c r="D197" s="132"/>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85"/>
      <c r="B198" s="173"/>
      <c r="C198" s="132"/>
      <c r="D198" s="132"/>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85"/>
      <c r="B199" s="173"/>
      <c r="C199" s="132"/>
      <c r="D199" s="132"/>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85"/>
      <c r="B200" s="173"/>
      <c r="C200" s="132"/>
      <c r="D200" s="132"/>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85"/>
      <c r="B201" s="173"/>
      <c r="C201" s="132"/>
      <c r="D201" s="132"/>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85"/>
      <c r="B202" s="173"/>
      <c r="C202" s="132"/>
      <c r="D202" s="132"/>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85"/>
      <c r="B203" s="173"/>
      <c r="C203" s="132"/>
      <c r="D203" s="132"/>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85"/>
      <c r="B204" s="173"/>
      <c r="C204" s="132"/>
      <c r="D204" s="132"/>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85"/>
      <c r="B205" s="173"/>
      <c r="C205" s="132"/>
      <c r="D205" s="132"/>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85"/>
      <c r="B206" s="173"/>
      <c r="C206" s="132"/>
      <c r="D206" s="132"/>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85"/>
      <c r="B207" s="173"/>
      <c r="C207" s="132"/>
      <c r="D207" s="132"/>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85"/>
      <c r="B208" s="173"/>
      <c r="C208" s="132"/>
      <c r="D208" s="132"/>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85"/>
      <c r="B209" s="173"/>
      <c r="C209" s="132"/>
      <c r="D209" s="132"/>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85"/>
      <c r="B210" s="173"/>
      <c r="C210" s="132"/>
      <c r="D210" s="132"/>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85"/>
      <c r="B211" s="173"/>
      <c r="C211" s="132"/>
      <c r="D211" s="132"/>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85"/>
      <c r="B212" s="173"/>
      <c r="C212" s="132"/>
      <c r="D212" s="132"/>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85"/>
      <c r="B213" s="173"/>
      <c r="C213" s="132"/>
      <c r="D213" s="132"/>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85"/>
      <c r="B214" s="173"/>
      <c r="C214" s="132"/>
      <c r="D214" s="132"/>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85"/>
      <c r="B215" s="173"/>
      <c r="C215" s="132"/>
      <c r="D215" s="132"/>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85"/>
      <c r="B216" s="173"/>
      <c r="C216" s="132"/>
      <c r="D216" s="132"/>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85"/>
      <c r="B217" s="173"/>
      <c r="C217" s="132"/>
      <c r="D217" s="132"/>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85"/>
      <c r="B218" s="173"/>
      <c r="C218" s="132"/>
      <c r="D218" s="132"/>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85"/>
      <c r="B219" s="173"/>
      <c r="C219" s="132"/>
      <c r="D219" s="132"/>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85"/>
      <c r="B220" s="173"/>
      <c r="C220" s="132"/>
      <c r="D220" s="132"/>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85"/>
      <c r="B221" s="173"/>
      <c r="C221" s="132"/>
      <c r="D221" s="132"/>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85"/>
      <c r="B222" s="173"/>
      <c r="C222" s="132"/>
      <c r="D222" s="132"/>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85"/>
      <c r="B223" s="173"/>
      <c r="C223" s="132"/>
      <c r="D223" s="132"/>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85"/>
      <c r="B224" s="173"/>
      <c r="C224" s="132"/>
      <c r="D224" s="132"/>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85"/>
      <c r="B225" s="173"/>
      <c r="C225" s="132"/>
      <c r="D225" s="132"/>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85"/>
      <c r="B226" s="173"/>
      <c r="C226" s="132"/>
      <c r="D226" s="132"/>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85"/>
      <c r="B227" s="173"/>
      <c r="C227" s="132"/>
      <c r="D227" s="132"/>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85"/>
      <c r="B228" s="173"/>
      <c r="C228" s="132"/>
      <c r="D228" s="132"/>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85"/>
      <c r="B229" s="173"/>
      <c r="C229" s="132"/>
      <c r="D229" s="132"/>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85"/>
      <c r="B230" s="173"/>
      <c r="C230" s="132"/>
      <c r="D230" s="132"/>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85"/>
      <c r="B231" s="173"/>
      <c r="C231" s="132"/>
      <c r="D231" s="132"/>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85"/>
      <c r="B232" s="173"/>
      <c r="C232" s="132"/>
      <c r="D232" s="132"/>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85"/>
      <c r="B233" s="173"/>
      <c r="C233" s="132"/>
      <c r="D233" s="132"/>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85"/>
      <c r="B234" s="173"/>
      <c r="C234" s="132"/>
      <c r="D234" s="132"/>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85"/>
      <c r="B235" s="173"/>
      <c r="C235" s="132"/>
      <c r="D235" s="132"/>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85"/>
      <c r="B236" s="173"/>
      <c r="C236" s="132"/>
      <c r="D236" s="132"/>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85"/>
      <c r="B237" s="173"/>
      <c r="C237" s="132"/>
      <c r="D237" s="132"/>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85"/>
      <c r="B238" s="173"/>
      <c r="C238" s="132"/>
      <c r="D238" s="132"/>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85"/>
      <c r="B239" s="173"/>
      <c r="C239" s="132"/>
      <c r="D239" s="132"/>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85"/>
      <c r="B240" s="173"/>
      <c r="C240" s="132"/>
      <c r="D240" s="132"/>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85"/>
      <c r="B241" s="173"/>
      <c r="C241" s="132"/>
      <c r="D241" s="132"/>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85"/>
      <c r="B242" s="173"/>
      <c r="C242" s="132"/>
      <c r="D242" s="132"/>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85"/>
      <c r="B243" s="173"/>
      <c r="C243" s="132"/>
      <c r="D243" s="132"/>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85"/>
      <c r="B244" s="173"/>
      <c r="C244" s="132"/>
      <c r="D244" s="132"/>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85"/>
      <c r="B245" s="173"/>
      <c r="C245" s="132"/>
      <c r="D245" s="132"/>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85"/>
      <c r="B246" s="173"/>
      <c r="C246" s="132"/>
      <c r="D246" s="132"/>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85"/>
      <c r="B247" s="173"/>
      <c r="C247" s="132"/>
      <c r="D247" s="132"/>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85"/>
      <c r="B248" s="173"/>
      <c r="C248" s="132"/>
      <c r="D248" s="132"/>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85"/>
      <c r="B249" s="173"/>
      <c r="C249" s="132"/>
      <c r="D249" s="132"/>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85"/>
      <c r="B250" s="173"/>
      <c r="C250" s="132"/>
      <c r="D250" s="132"/>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85"/>
      <c r="B251" s="173"/>
      <c r="C251" s="132"/>
      <c r="D251" s="132"/>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85"/>
      <c r="B252" s="173"/>
      <c r="C252" s="132"/>
      <c r="D252" s="132"/>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85"/>
      <c r="B253" s="173"/>
      <c r="C253" s="132"/>
      <c r="D253" s="132"/>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85"/>
      <c r="B254" s="173"/>
      <c r="C254" s="132"/>
      <c r="D254" s="132"/>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85"/>
      <c r="B255" s="173"/>
      <c r="C255" s="132"/>
      <c r="D255" s="132"/>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85"/>
      <c r="B256" s="173"/>
      <c r="C256" s="132"/>
      <c r="D256" s="132"/>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85"/>
      <c r="B257" s="173"/>
      <c r="C257" s="132"/>
      <c r="D257" s="132"/>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85"/>
      <c r="B258" s="173"/>
      <c r="C258" s="132"/>
      <c r="D258" s="132"/>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85"/>
      <c r="B259" s="173"/>
      <c r="C259" s="132"/>
      <c r="D259" s="132"/>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85"/>
      <c r="B260" s="173"/>
      <c r="C260" s="132"/>
      <c r="D260" s="132"/>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85"/>
      <c r="B261" s="173"/>
      <c r="C261" s="132"/>
      <c r="D261" s="132"/>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85"/>
      <c r="B262" s="173"/>
      <c r="C262" s="132"/>
      <c r="D262" s="132"/>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85"/>
      <c r="B263" s="173"/>
      <c r="C263" s="132"/>
      <c r="D263" s="132"/>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85"/>
      <c r="B264" s="173"/>
      <c r="C264" s="132"/>
      <c r="D264" s="132"/>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85"/>
      <c r="B265" s="173"/>
      <c r="C265" s="132"/>
      <c r="D265" s="132"/>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85"/>
      <c r="B266" s="173"/>
      <c r="C266" s="132"/>
      <c r="D266" s="132"/>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85"/>
      <c r="B267" s="173"/>
      <c r="C267" s="132"/>
      <c r="D267" s="132"/>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85"/>
      <c r="B268" s="173"/>
      <c r="C268" s="132"/>
      <c r="D268" s="132"/>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85"/>
      <c r="B269" s="173"/>
      <c r="C269" s="132"/>
      <c r="D269" s="132"/>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85"/>
      <c r="B270" s="173"/>
      <c r="C270" s="132"/>
      <c r="D270" s="132"/>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85"/>
      <c r="B271" s="173"/>
      <c r="C271" s="132"/>
      <c r="D271" s="132"/>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85"/>
      <c r="B272" s="173"/>
      <c r="C272" s="132"/>
      <c r="D272" s="132"/>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85"/>
      <c r="B273" s="173"/>
      <c r="C273" s="132"/>
      <c r="D273" s="132"/>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85"/>
      <c r="B274" s="173"/>
      <c r="C274" s="132"/>
      <c r="D274" s="132"/>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85"/>
      <c r="B275" s="173"/>
      <c r="C275" s="132"/>
      <c r="D275" s="132"/>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85"/>
      <c r="B276" s="173"/>
      <c r="C276" s="132"/>
      <c r="D276" s="132"/>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85"/>
      <c r="B277" s="173"/>
      <c r="C277" s="132"/>
      <c r="D277" s="132"/>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85"/>
      <c r="B278" s="173"/>
      <c r="C278" s="132"/>
      <c r="D278" s="132"/>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85"/>
      <c r="B279" s="173"/>
      <c r="C279" s="132"/>
      <c r="D279" s="132"/>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85"/>
      <c r="B280" s="173"/>
      <c r="C280" s="132"/>
      <c r="D280" s="132"/>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85"/>
      <c r="B281" s="173"/>
      <c r="C281" s="132"/>
      <c r="D281" s="132"/>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85"/>
      <c r="B282" s="173"/>
      <c r="C282" s="132"/>
      <c r="D282" s="132"/>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85"/>
      <c r="B283" s="173"/>
      <c r="C283" s="132"/>
      <c r="D283" s="132"/>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85"/>
      <c r="B284" s="173"/>
      <c r="C284" s="132"/>
      <c r="D284" s="132"/>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85"/>
      <c r="B285" s="173"/>
      <c r="C285" s="132"/>
      <c r="D285" s="132"/>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85"/>
      <c r="B286" s="173"/>
      <c r="C286" s="132"/>
      <c r="D286" s="132"/>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85"/>
      <c r="B287" s="173"/>
      <c r="C287" s="132"/>
      <c r="D287" s="132"/>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85"/>
      <c r="B288" s="173"/>
      <c r="C288" s="132"/>
      <c r="D288" s="132"/>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85"/>
      <c r="B289" s="173"/>
      <c r="C289" s="132"/>
      <c r="D289" s="132"/>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85"/>
      <c r="B290" s="173"/>
      <c r="C290" s="132"/>
      <c r="D290" s="132"/>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85"/>
      <c r="B291" s="173"/>
      <c r="C291" s="132"/>
      <c r="D291" s="132"/>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85"/>
      <c r="B292" s="173"/>
      <c r="C292" s="132"/>
      <c r="D292" s="132"/>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85"/>
      <c r="B293" s="173"/>
      <c r="C293" s="132"/>
      <c r="D293" s="132"/>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85"/>
      <c r="B294" s="173"/>
      <c r="C294" s="132"/>
      <c r="D294" s="132"/>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85"/>
      <c r="B295" s="173"/>
      <c r="C295" s="132"/>
      <c r="D295" s="132"/>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85"/>
      <c r="B296" s="173"/>
      <c r="C296" s="132"/>
      <c r="D296" s="132"/>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85"/>
      <c r="B297" s="173"/>
      <c r="C297" s="132"/>
      <c r="D297" s="132"/>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85"/>
      <c r="B298" s="173"/>
      <c r="C298" s="132"/>
      <c r="D298" s="132"/>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85"/>
      <c r="B299" s="173"/>
      <c r="C299" s="132"/>
      <c r="D299" s="132"/>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85"/>
      <c r="B300" s="173"/>
      <c r="C300" s="132"/>
      <c r="D300" s="132"/>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85"/>
      <c r="B301" s="173"/>
      <c r="C301" s="132"/>
      <c r="D301" s="132"/>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85"/>
      <c r="B302" s="173"/>
      <c r="C302" s="132"/>
      <c r="D302" s="132"/>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85"/>
      <c r="B303" s="173"/>
      <c r="C303" s="132"/>
      <c r="D303" s="132"/>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85"/>
      <c r="B304" s="173"/>
      <c r="C304" s="132"/>
      <c r="D304" s="132"/>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85"/>
      <c r="B305" s="173"/>
      <c r="C305" s="132"/>
      <c r="D305" s="132"/>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85"/>
      <c r="B306" s="173"/>
      <c r="C306" s="132"/>
      <c r="D306" s="132"/>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85"/>
      <c r="B307" s="173"/>
      <c r="C307" s="132"/>
      <c r="D307" s="132"/>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85"/>
      <c r="B308" s="173"/>
      <c r="C308" s="132"/>
      <c r="D308" s="132"/>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85"/>
      <c r="B309" s="173"/>
      <c r="C309" s="132"/>
      <c r="D309" s="132"/>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85"/>
      <c r="B310" s="173"/>
      <c r="C310" s="132"/>
      <c r="D310" s="132"/>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85"/>
      <c r="B311" s="173"/>
      <c r="C311" s="132"/>
      <c r="D311" s="132"/>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85"/>
      <c r="B312" s="173"/>
      <c r="C312" s="132"/>
      <c r="D312" s="132"/>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85"/>
      <c r="B313" s="173"/>
      <c r="C313" s="132"/>
      <c r="D313" s="132"/>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85"/>
      <c r="B314" s="173"/>
      <c r="C314" s="132"/>
      <c r="D314" s="132"/>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85"/>
      <c r="B315" s="173"/>
      <c r="C315" s="132"/>
      <c r="D315" s="132"/>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85"/>
      <c r="B316" s="173"/>
      <c r="C316" s="132"/>
      <c r="D316" s="132"/>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85"/>
      <c r="B317" s="173"/>
      <c r="C317" s="132"/>
      <c r="D317" s="132"/>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85"/>
      <c r="B318" s="173"/>
      <c r="C318" s="132"/>
      <c r="D318" s="132"/>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85"/>
      <c r="B319" s="173"/>
      <c r="C319" s="132"/>
      <c r="D319" s="132"/>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85"/>
      <c r="B320" s="173"/>
      <c r="C320" s="132"/>
      <c r="D320" s="132"/>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85"/>
      <c r="B321" s="173"/>
      <c r="C321" s="132"/>
      <c r="D321" s="132"/>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85"/>
      <c r="B322" s="173"/>
      <c r="C322" s="132"/>
      <c r="D322" s="132"/>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85"/>
      <c r="B323" s="173"/>
      <c r="C323" s="132"/>
      <c r="D323" s="132"/>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85"/>
      <c r="B324" s="173"/>
      <c r="C324" s="132"/>
      <c r="D324" s="132"/>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85"/>
      <c r="B325" s="173"/>
      <c r="C325" s="132"/>
      <c r="D325" s="132"/>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85"/>
      <c r="B326" s="173"/>
      <c r="C326" s="132"/>
      <c r="D326" s="132"/>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85"/>
      <c r="B327" s="173"/>
      <c r="C327" s="132"/>
      <c r="D327" s="132"/>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85"/>
      <c r="B328" s="173"/>
      <c r="C328" s="132"/>
      <c r="D328" s="132"/>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85"/>
      <c r="B329" s="173"/>
      <c r="C329" s="132"/>
      <c r="D329" s="132"/>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85"/>
      <c r="B330" s="173"/>
      <c r="C330" s="132"/>
      <c r="D330" s="132"/>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85"/>
      <c r="B331" s="173"/>
      <c r="C331" s="132"/>
      <c r="D331" s="132"/>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85"/>
      <c r="B332" s="173"/>
      <c r="C332" s="132"/>
      <c r="D332" s="132"/>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85"/>
      <c r="B333" s="173"/>
      <c r="C333" s="132"/>
      <c r="D333" s="132"/>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85"/>
      <c r="B334" s="173"/>
      <c r="C334" s="132"/>
      <c r="D334" s="132"/>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85"/>
      <c r="B335" s="173"/>
      <c r="C335" s="132"/>
      <c r="D335" s="132"/>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85"/>
      <c r="B336" s="173"/>
      <c r="C336" s="132"/>
      <c r="D336" s="132"/>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85"/>
      <c r="B337" s="173"/>
      <c r="C337" s="132"/>
      <c r="D337" s="132"/>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85"/>
      <c r="B338" s="173"/>
      <c r="C338" s="132"/>
      <c r="D338" s="132"/>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85"/>
      <c r="B339" s="173"/>
      <c r="C339" s="132"/>
      <c r="D339" s="132"/>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85"/>
      <c r="B340" s="173"/>
      <c r="C340" s="132"/>
      <c r="D340" s="132"/>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85"/>
      <c r="B341" s="173"/>
      <c r="C341" s="132"/>
      <c r="D341" s="132"/>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85"/>
      <c r="B342" s="173"/>
      <c r="C342" s="132"/>
      <c r="D342" s="132"/>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85"/>
      <c r="B343" s="173"/>
      <c r="C343" s="132"/>
      <c r="D343" s="132"/>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85"/>
      <c r="B344" s="173"/>
      <c r="C344" s="132"/>
      <c r="D344" s="132"/>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85"/>
      <c r="B345" s="173"/>
      <c r="C345" s="132"/>
      <c r="D345" s="132"/>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85"/>
      <c r="B346" s="173"/>
      <c r="C346" s="132"/>
      <c r="D346" s="132"/>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85"/>
      <c r="B347" s="173"/>
      <c r="C347" s="132"/>
      <c r="D347" s="132"/>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85"/>
      <c r="B348" s="173"/>
      <c r="C348" s="132"/>
      <c r="D348" s="132"/>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85"/>
      <c r="B349" s="173"/>
      <c r="C349" s="132"/>
      <c r="D349" s="132"/>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85"/>
      <c r="B350" s="173"/>
      <c r="C350" s="132"/>
      <c r="D350" s="132"/>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85"/>
      <c r="B351" s="173"/>
      <c r="C351" s="132"/>
      <c r="D351" s="132"/>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85"/>
      <c r="B352" s="173"/>
      <c r="C352" s="132"/>
      <c r="D352" s="132"/>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85"/>
      <c r="B353" s="173"/>
      <c r="C353" s="132"/>
      <c r="D353" s="132"/>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85"/>
      <c r="B354" s="173"/>
      <c r="C354" s="132"/>
      <c r="D354" s="132"/>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85"/>
      <c r="B355" s="173"/>
      <c r="C355" s="132"/>
      <c r="D355" s="132"/>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85"/>
      <c r="B356" s="173"/>
      <c r="C356" s="132"/>
      <c r="D356" s="132"/>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85"/>
      <c r="B357" s="173"/>
      <c r="C357" s="132"/>
      <c r="D357" s="132"/>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85"/>
      <c r="B358" s="173"/>
      <c r="C358" s="132"/>
      <c r="D358" s="132"/>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85"/>
      <c r="B359" s="173"/>
      <c r="C359" s="132"/>
      <c r="D359" s="132"/>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85"/>
      <c r="B360" s="173"/>
      <c r="C360" s="132"/>
      <c r="D360" s="132"/>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85"/>
      <c r="B361" s="173"/>
      <c r="C361" s="132"/>
      <c r="D361" s="132"/>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85"/>
      <c r="B362" s="173"/>
      <c r="C362" s="132"/>
      <c r="D362" s="132"/>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85"/>
      <c r="B363" s="173"/>
      <c r="C363" s="132"/>
      <c r="D363" s="132"/>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85"/>
      <c r="B364" s="173"/>
      <c r="C364" s="132"/>
      <c r="D364" s="132"/>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85"/>
      <c r="B365" s="173"/>
      <c r="C365" s="132"/>
      <c r="D365" s="132"/>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85"/>
      <c r="B366" s="173"/>
      <c r="C366" s="132"/>
      <c r="D366" s="132"/>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85"/>
      <c r="B367" s="173"/>
      <c r="C367" s="132"/>
      <c r="D367" s="132"/>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85"/>
      <c r="B368" s="173"/>
      <c r="C368" s="132"/>
      <c r="D368" s="132"/>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85"/>
      <c r="B369" s="173"/>
      <c r="C369" s="132"/>
      <c r="D369" s="132"/>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85"/>
      <c r="B370" s="173"/>
      <c r="C370" s="132"/>
      <c r="D370" s="132"/>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85"/>
      <c r="B371" s="173"/>
      <c r="C371" s="132"/>
      <c r="D371" s="132"/>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85"/>
      <c r="B372" s="173"/>
      <c r="C372" s="132"/>
      <c r="D372" s="132"/>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85"/>
      <c r="B373" s="173"/>
      <c r="C373" s="132"/>
      <c r="D373" s="132"/>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85"/>
      <c r="B374" s="173"/>
      <c r="C374" s="132"/>
      <c r="D374" s="132"/>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85"/>
      <c r="B375" s="173"/>
      <c r="C375" s="132"/>
      <c r="D375" s="132"/>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85"/>
      <c r="B376" s="173"/>
      <c r="C376" s="132"/>
      <c r="D376" s="132"/>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85"/>
      <c r="B377" s="173"/>
      <c r="C377" s="132"/>
      <c r="D377" s="132"/>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85"/>
      <c r="B378" s="173"/>
      <c r="C378" s="132"/>
      <c r="D378" s="132"/>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85"/>
      <c r="B379" s="173"/>
      <c r="C379" s="132"/>
      <c r="D379" s="132"/>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85"/>
      <c r="B380" s="173"/>
      <c r="C380" s="132"/>
      <c r="D380" s="132"/>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85"/>
      <c r="B381" s="173"/>
      <c r="C381" s="132"/>
      <c r="D381" s="132"/>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85"/>
      <c r="B382" s="173"/>
      <c r="C382" s="132"/>
      <c r="D382" s="132"/>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85"/>
      <c r="B383" s="173"/>
      <c r="C383" s="132"/>
      <c r="D383" s="132"/>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85"/>
      <c r="B384" s="173"/>
      <c r="C384" s="132"/>
      <c r="D384" s="132"/>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85"/>
      <c r="B385" s="173"/>
      <c r="C385" s="132"/>
      <c r="D385" s="132"/>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85"/>
      <c r="B386" s="173"/>
      <c r="C386" s="132"/>
      <c r="D386" s="132"/>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85"/>
      <c r="B387" s="173"/>
      <c r="C387" s="132"/>
      <c r="D387" s="132"/>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85"/>
      <c r="B388" s="173"/>
      <c r="C388" s="132"/>
      <c r="D388" s="132"/>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85"/>
      <c r="B389" s="173"/>
      <c r="C389" s="132"/>
      <c r="D389" s="132"/>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85"/>
      <c r="B390" s="173"/>
      <c r="C390" s="132"/>
      <c r="D390" s="132"/>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85"/>
      <c r="B391" s="173"/>
      <c r="C391" s="132"/>
      <c r="D391" s="132"/>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85"/>
      <c r="B392" s="173"/>
      <c r="C392" s="132"/>
      <c r="D392" s="132"/>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85"/>
      <c r="B393" s="173"/>
      <c r="C393" s="132"/>
      <c r="D393" s="132"/>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85"/>
      <c r="B394" s="173"/>
      <c r="C394" s="132"/>
      <c r="D394" s="132"/>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85"/>
      <c r="B395" s="173"/>
      <c r="C395" s="132"/>
      <c r="D395" s="132"/>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85"/>
      <c r="B396" s="173"/>
      <c r="C396" s="132"/>
      <c r="D396" s="132"/>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85"/>
      <c r="B397" s="173"/>
      <c r="C397" s="132"/>
      <c r="D397" s="132"/>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85"/>
      <c r="B398" s="173"/>
      <c r="C398" s="132"/>
      <c r="D398" s="132"/>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85"/>
      <c r="B399" s="173"/>
      <c r="C399" s="132"/>
      <c r="D399" s="132"/>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85"/>
      <c r="B400" s="173"/>
      <c r="C400" s="132"/>
      <c r="D400" s="132"/>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85"/>
      <c r="B401" s="173"/>
      <c r="C401" s="132"/>
      <c r="D401" s="132"/>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85"/>
      <c r="B402" s="173"/>
      <c r="C402" s="132"/>
      <c r="D402" s="132"/>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85"/>
      <c r="B403" s="173"/>
      <c r="C403" s="132"/>
      <c r="D403" s="132"/>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85"/>
      <c r="B404" s="173"/>
      <c r="C404" s="132"/>
      <c r="D404" s="132"/>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85"/>
      <c r="B405" s="173"/>
      <c r="C405" s="132"/>
      <c r="D405" s="132"/>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85"/>
      <c r="B406" s="173"/>
      <c r="C406" s="132"/>
      <c r="D406" s="132"/>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85"/>
      <c r="B407" s="173"/>
      <c r="C407" s="132"/>
      <c r="D407" s="132"/>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85"/>
      <c r="B408" s="173"/>
      <c r="C408" s="132"/>
      <c r="D408" s="132"/>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85"/>
      <c r="B409" s="173"/>
      <c r="C409" s="132"/>
      <c r="D409" s="132"/>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85"/>
      <c r="B410" s="173"/>
      <c r="C410" s="132"/>
      <c r="D410" s="132"/>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85"/>
      <c r="B411" s="173"/>
      <c r="C411" s="132"/>
      <c r="D411" s="132"/>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85"/>
      <c r="B412" s="173"/>
      <c r="C412" s="132"/>
      <c r="D412" s="132"/>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85"/>
      <c r="B413" s="173"/>
      <c r="C413" s="132"/>
      <c r="D413" s="132"/>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85"/>
      <c r="B414" s="173"/>
      <c r="C414" s="132"/>
      <c r="D414" s="132"/>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85"/>
      <c r="B415" s="173"/>
      <c r="C415" s="132"/>
      <c r="D415" s="132"/>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85"/>
      <c r="B416" s="173"/>
      <c r="C416" s="132"/>
      <c r="D416" s="132"/>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85"/>
      <c r="B417" s="173"/>
      <c r="C417" s="132"/>
      <c r="D417" s="132"/>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85"/>
      <c r="B418" s="173"/>
      <c r="C418" s="132"/>
      <c r="D418" s="132"/>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85"/>
      <c r="B419" s="173"/>
      <c r="C419" s="132"/>
      <c r="D419" s="132"/>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85"/>
      <c r="B420" s="173"/>
      <c r="C420" s="132"/>
      <c r="D420" s="132"/>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85"/>
      <c r="B421" s="173"/>
      <c r="C421" s="132"/>
      <c r="D421" s="132"/>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85"/>
      <c r="B422" s="173"/>
      <c r="C422" s="132"/>
      <c r="D422" s="132"/>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85"/>
      <c r="B423" s="173"/>
      <c r="C423" s="132"/>
      <c r="D423" s="132"/>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85"/>
      <c r="B424" s="173"/>
      <c r="C424" s="132"/>
      <c r="D424" s="132"/>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85"/>
      <c r="B425" s="173"/>
      <c r="C425" s="132"/>
      <c r="D425" s="132"/>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85"/>
      <c r="B426" s="173"/>
      <c r="C426" s="132"/>
      <c r="D426" s="132"/>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85"/>
      <c r="B427" s="173"/>
      <c r="C427" s="132"/>
      <c r="D427" s="132"/>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85"/>
      <c r="B428" s="173"/>
      <c r="C428" s="132"/>
      <c r="D428" s="132"/>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85"/>
      <c r="B429" s="173"/>
      <c r="C429" s="132"/>
      <c r="D429" s="132"/>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85"/>
      <c r="B430" s="173"/>
      <c r="C430" s="132"/>
      <c r="D430" s="132"/>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85"/>
      <c r="B431" s="173"/>
      <c r="C431" s="132"/>
      <c r="D431" s="132"/>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85"/>
      <c r="B432" s="173"/>
      <c r="C432" s="132"/>
      <c r="D432" s="132"/>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85"/>
      <c r="B433" s="173"/>
      <c r="C433" s="132"/>
      <c r="D433" s="132"/>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85"/>
      <c r="B434" s="173"/>
      <c r="C434" s="132"/>
      <c r="D434" s="132"/>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85"/>
      <c r="B435" s="173"/>
      <c r="C435" s="132"/>
      <c r="D435" s="132"/>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85"/>
      <c r="B436" s="173"/>
      <c r="C436" s="132"/>
      <c r="D436" s="132"/>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85"/>
      <c r="B437" s="173"/>
      <c r="C437" s="132"/>
      <c r="D437" s="132"/>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85"/>
      <c r="B438" s="173"/>
      <c r="C438" s="132"/>
      <c r="D438" s="132"/>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85"/>
      <c r="B439" s="173"/>
      <c r="C439" s="132"/>
      <c r="D439" s="132"/>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85"/>
      <c r="B440" s="173"/>
      <c r="C440" s="132"/>
      <c r="D440" s="132"/>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85"/>
      <c r="B441" s="173"/>
      <c r="C441" s="132"/>
      <c r="D441" s="132"/>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85"/>
      <c r="B442" s="173"/>
      <c r="C442" s="132"/>
      <c r="D442" s="132"/>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85"/>
      <c r="B443" s="173"/>
      <c r="C443" s="132"/>
      <c r="D443" s="132"/>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85"/>
      <c r="B444" s="173"/>
      <c r="C444" s="132"/>
      <c r="D444" s="132"/>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85"/>
      <c r="B445" s="173"/>
      <c r="C445" s="132"/>
      <c r="D445" s="132"/>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85"/>
      <c r="B446" s="173"/>
      <c r="C446" s="132"/>
      <c r="D446" s="132"/>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85"/>
      <c r="B447" s="173"/>
      <c r="C447" s="132"/>
      <c r="D447" s="132"/>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85"/>
      <c r="B448" s="173"/>
      <c r="C448" s="132"/>
      <c r="D448" s="132"/>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85"/>
      <c r="B449" s="173"/>
      <c r="C449" s="132"/>
      <c r="D449" s="132"/>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85"/>
      <c r="B450" s="173"/>
      <c r="C450" s="132"/>
      <c r="D450" s="132"/>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85"/>
      <c r="B451" s="173"/>
      <c r="C451" s="132"/>
      <c r="D451" s="132"/>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85"/>
      <c r="B452" s="173"/>
      <c r="C452" s="132"/>
      <c r="D452" s="132"/>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85"/>
      <c r="B453" s="173"/>
      <c r="C453" s="132"/>
      <c r="D453" s="132"/>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85"/>
      <c r="B454" s="173"/>
      <c r="C454" s="132"/>
      <c r="D454" s="132"/>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85"/>
      <c r="B455" s="173"/>
      <c r="C455" s="132"/>
      <c r="D455" s="132"/>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85"/>
      <c r="B456" s="173"/>
      <c r="C456" s="132"/>
      <c r="D456" s="132"/>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85"/>
      <c r="B457" s="173"/>
      <c r="C457" s="132"/>
      <c r="D457" s="132"/>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85"/>
      <c r="B458" s="173"/>
      <c r="C458" s="132"/>
      <c r="D458" s="132"/>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85"/>
      <c r="B459" s="173"/>
      <c r="C459" s="132"/>
      <c r="D459" s="132"/>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85"/>
      <c r="B460" s="173"/>
      <c r="C460" s="132"/>
      <c r="D460" s="132"/>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85"/>
      <c r="B461" s="173"/>
      <c r="C461" s="132"/>
      <c r="D461" s="132"/>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85"/>
      <c r="B462" s="173"/>
      <c r="C462" s="132"/>
      <c r="D462" s="132"/>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85"/>
      <c r="B463" s="173"/>
      <c r="C463" s="132"/>
      <c r="D463" s="132"/>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85"/>
      <c r="B464" s="173"/>
      <c r="C464" s="132"/>
      <c r="D464" s="132"/>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85"/>
      <c r="B465" s="173"/>
      <c r="C465" s="132"/>
      <c r="D465" s="132"/>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85"/>
      <c r="B466" s="173"/>
      <c r="C466" s="132"/>
      <c r="D466" s="132"/>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85"/>
      <c r="B467" s="173"/>
      <c r="C467" s="132"/>
      <c r="D467" s="132"/>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85"/>
      <c r="B468" s="173"/>
      <c r="C468" s="132"/>
      <c r="D468" s="132"/>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85"/>
      <c r="B469" s="173"/>
      <c r="C469" s="132"/>
      <c r="D469" s="132"/>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85"/>
      <c r="B470" s="173"/>
      <c r="C470" s="132"/>
      <c r="D470" s="132"/>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85"/>
      <c r="B471" s="173"/>
      <c r="C471" s="132"/>
      <c r="D471" s="132"/>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85"/>
      <c r="B472" s="173"/>
      <c r="C472" s="132"/>
      <c r="D472" s="132"/>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85"/>
      <c r="B473" s="173"/>
      <c r="C473" s="132"/>
      <c r="D473" s="132"/>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85"/>
      <c r="B474" s="173"/>
      <c r="C474" s="132"/>
      <c r="D474" s="132"/>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85"/>
      <c r="B475" s="173"/>
      <c r="C475" s="132"/>
      <c r="D475" s="132"/>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85"/>
      <c r="B476" s="173"/>
      <c r="C476" s="132"/>
      <c r="D476" s="132"/>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85"/>
      <c r="B477" s="173"/>
      <c r="C477" s="132"/>
      <c r="D477" s="132"/>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85"/>
      <c r="B478" s="173"/>
      <c r="C478" s="132"/>
      <c r="D478" s="132"/>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85"/>
      <c r="B479" s="173"/>
      <c r="C479" s="132"/>
      <c r="D479" s="132"/>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85"/>
      <c r="B480" s="173"/>
      <c r="C480" s="132"/>
      <c r="D480" s="132"/>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85"/>
      <c r="B481" s="173"/>
      <c r="C481" s="132"/>
      <c r="D481" s="132"/>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85"/>
      <c r="B482" s="173"/>
      <c r="C482" s="132"/>
      <c r="D482" s="132"/>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85"/>
      <c r="B483" s="173"/>
      <c r="C483" s="132"/>
      <c r="D483" s="132"/>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85"/>
      <c r="B484" s="173"/>
      <c r="C484" s="132"/>
      <c r="D484" s="132"/>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85"/>
      <c r="B485" s="173"/>
      <c r="C485" s="132"/>
      <c r="D485" s="132"/>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85"/>
      <c r="B486" s="173"/>
      <c r="C486" s="132"/>
      <c r="D486" s="132"/>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85"/>
      <c r="B487" s="173"/>
      <c r="C487" s="132"/>
      <c r="D487" s="132"/>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85"/>
      <c r="B488" s="173"/>
      <c r="C488" s="132"/>
      <c r="D488" s="132"/>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85"/>
      <c r="B489" s="173"/>
      <c r="C489" s="132"/>
      <c r="D489" s="132"/>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85"/>
      <c r="B490" s="173"/>
      <c r="C490" s="132"/>
      <c r="D490" s="132"/>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85"/>
      <c r="B491" s="173"/>
      <c r="C491" s="132"/>
      <c r="D491" s="132"/>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85"/>
      <c r="B492" s="173"/>
      <c r="C492" s="132"/>
      <c r="D492" s="132"/>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85"/>
      <c r="B493" s="173"/>
      <c r="C493" s="132"/>
      <c r="D493" s="132"/>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85"/>
      <c r="B494" s="173"/>
      <c r="C494" s="132"/>
      <c r="D494" s="132"/>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85"/>
      <c r="B495" s="173"/>
      <c r="C495" s="132"/>
      <c r="D495" s="132"/>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85"/>
      <c r="B496" s="173"/>
      <c r="C496" s="132"/>
      <c r="D496" s="132"/>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85"/>
      <c r="B497" s="173"/>
      <c r="C497" s="132"/>
      <c r="D497" s="132"/>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85"/>
      <c r="B498" s="173"/>
      <c r="C498" s="132"/>
      <c r="D498" s="132"/>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85"/>
      <c r="B499" s="173"/>
      <c r="C499" s="132"/>
      <c r="D499" s="132"/>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85"/>
      <c r="B500" s="173"/>
      <c r="C500" s="132"/>
      <c r="D500" s="132"/>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85"/>
      <c r="B501" s="173"/>
      <c r="C501" s="132"/>
      <c r="D501" s="132"/>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85"/>
      <c r="B502" s="173"/>
      <c r="C502" s="132"/>
      <c r="D502" s="132"/>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85"/>
      <c r="B503" s="173"/>
      <c r="C503" s="132"/>
      <c r="D503" s="132"/>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85"/>
      <c r="B504" s="173"/>
      <c r="C504" s="132"/>
      <c r="D504" s="132"/>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85"/>
      <c r="B505" s="173"/>
      <c r="C505" s="132"/>
      <c r="D505" s="132"/>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85"/>
      <c r="B506" s="173"/>
      <c r="C506" s="132"/>
      <c r="D506" s="132"/>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85"/>
      <c r="B507" s="173"/>
      <c r="C507" s="132"/>
      <c r="D507" s="132"/>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85"/>
      <c r="B508" s="173"/>
      <c r="C508" s="132"/>
      <c r="D508" s="132"/>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85"/>
      <c r="B509" s="173"/>
      <c r="C509" s="132"/>
      <c r="D509" s="132"/>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85"/>
      <c r="B510" s="173"/>
      <c r="C510" s="132"/>
      <c r="D510" s="132"/>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85"/>
      <c r="B511" s="173"/>
      <c r="C511" s="132"/>
      <c r="D511" s="132"/>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85"/>
      <c r="B512" s="173"/>
      <c r="C512" s="132"/>
      <c r="D512" s="132"/>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85"/>
      <c r="B513" s="173"/>
      <c r="C513" s="132"/>
      <c r="D513" s="132"/>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85"/>
      <c r="B514" s="173"/>
      <c r="C514" s="132"/>
      <c r="D514" s="132"/>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85"/>
      <c r="B515" s="173"/>
      <c r="C515" s="132"/>
      <c r="D515" s="132"/>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85"/>
      <c r="B516" s="173"/>
      <c r="C516" s="132"/>
      <c r="D516" s="132"/>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85"/>
      <c r="B517" s="173"/>
      <c r="C517" s="132"/>
      <c r="D517" s="132"/>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85"/>
      <c r="B518" s="173"/>
      <c r="C518" s="132"/>
      <c r="D518" s="132"/>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85"/>
      <c r="B519" s="173"/>
      <c r="C519" s="132"/>
      <c r="D519" s="132"/>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85"/>
      <c r="B520" s="173"/>
      <c r="C520" s="132"/>
      <c r="D520" s="132"/>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85"/>
      <c r="B521" s="173"/>
      <c r="C521" s="132"/>
      <c r="D521" s="132"/>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85"/>
      <c r="B522" s="173"/>
      <c r="C522" s="132"/>
      <c r="D522" s="132"/>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85"/>
      <c r="B523" s="173"/>
      <c r="C523" s="132"/>
      <c r="D523" s="132"/>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85"/>
      <c r="B524" s="173"/>
      <c r="C524" s="132"/>
      <c r="D524" s="132"/>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85"/>
      <c r="B525" s="173"/>
      <c r="C525" s="132"/>
      <c r="D525" s="132"/>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85"/>
      <c r="B526" s="173"/>
      <c r="C526" s="132"/>
      <c r="D526" s="132"/>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85"/>
      <c r="B527" s="173"/>
      <c r="C527" s="132"/>
      <c r="D527" s="132"/>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85"/>
      <c r="B528" s="173"/>
      <c r="C528" s="132"/>
      <c r="D528" s="132"/>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85"/>
      <c r="B529" s="173"/>
      <c r="C529" s="132"/>
      <c r="D529" s="132"/>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85"/>
      <c r="B530" s="173"/>
      <c r="C530" s="132"/>
      <c r="D530" s="132"/>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85"/>
      <c r="B531" s="173"/>
      <c r="C531" s="132"/>
      <c r="D531" s="132"/>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85"/>
      <c r="B532" s="173"/>
      <c r="C532" s="132"/>
      <c r="D532" s="132"/>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85"/>
      <c r="B533" s="173"/>
      <c r="C533" s="132"/>
      <c r="D533" s="132"/>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85"/>
      <c r="B534" s="173"/>
      <c r="C534" s="132"/>
      <c r="D534" s="132"/>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85"/>
      <c r="B535" s="173"/>
      <c r="C535" s="132"/>
      <c r="D535" s="132"/>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85"/>
      <c r="B536" s="173"/>
      <c r="C536" s="132"/>
      <c r="D536" s="132"/>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85"/>
      <c r="B537" s="173"/>
      <c r="C537" s="132"/>
      <c r="D537" s="132"/>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85"/>
      <c r="B538" s="173"/>
      <c r="C538" s="132"/>
      <c r="D538" s="132"/>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85"/>
      <c r="B539" s="173"/>
      <c r="C539" s="132"/>
      <c r="D539" s="132"/>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85"/>
      <c r="B540" s="173"/>
      <c r="C540" s="132"/>
      <c r="D540" s="132"/>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85"/>
      <c r="B541" s="173"/>
      <c r="C541" s="132"/>
      <c r="D541" s="132"/>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85"/>
      <c r="B542" s="173"/>
      <c r="C542" s="132"/>
      <c r="D542" s="132"/>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85"/>
      <c r="B543" s="173"/>
      <c r="C543" s="132"/>
      <c r="D543" s="132"/>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85"/>
      <c r="B544" s="173"/>
      <c r="C544" s="132"/>
      <c r="D544" s="132"/>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85"/>
      <c r="B545" s="173"/>
      <c r="C545" s="132"/>
      <c r="D545" s="132"/>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85"/>
      <c r="B546" s="173"/>
      <c r="C546" s="132"/>
      <c r="D546" s="132"/>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85"/>
      <c r="B547" s="173"/>
      <c r="C547" s="132"/>
      <c r="D547" s="132"/>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85"/>
      <c r="B548" s="173"/>
      <c r="C548" s="132"/>
      <c r="D548" s="132"/>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85"/>
      <c r="B549" s="173"/>
      <c r="C549" s="132"/>
      <c r="D549" s="132"/>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85"/>
      <c r="B550" s="173"/>
      <c r="C550" s="132"/>
      <c r="D550" s="132"/>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85"/>
      <c r="B551" s="173"/>
      <c r="C551" s="132"/>
      <c r="D551" s="132"/>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85"/>
      <c r="B552" s="173"/>
      <c r="C552" s="132"/>
      <c r="D552" s="132"/>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85"/>
      <c r="B553" s="173"/>
      <c r="C553" s="132"/>
      <c r="D553" s="132"/>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85"/>
      <c r="B554" s="173"/>
      <c r="C554" s="132"/>
      <c r="D554" s="132"/>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85"/>
      <c r="B555" s="173"/>
      <c r="C555" s="132"/>
      <c r="D555" s="132"/>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85"/>
      <c r="B556" s="173"/>
      <c r="C556" s="132"/>
      <c r="D556" s="132"/>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85"/>
      <c r="B557" s="173"/>
      <c r="C557" s="132"/>
      <c r="D557" s="132"/>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85"/>
      <c r="B558" s="173"/>
      <c r="C558" s="132"/>
      <c r="D558" s="132"/>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85"/>
      <c r="B559" s="173"/>
      <c r="C559" s="132"/>
      <c r="D559" s="132"/>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85"/>
      <c r="B560" s="173"/>
      <c r="C560" s="132"/>
      <c r="D560" s="132"/>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85"/>
      <c r="B561" s="173"/>
      <c r="C561" s="132"/>
      <c r="D561" s="132"/>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85"/>
      <c r="B562" s="173"/>
      <c r="C562" s="132"/>
      <c r="D562" s="132"/>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85"/>
      <c r="B563" s="173"/>
      <c r="C563" s="132"/>
      <c r="D563" s="132"/>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85"/>
      <c r="B564" s="173"/>
      <c r="C564" s="132"/>
      <c r="D564" s="132"/>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85"/>
      <c r="B565" s="173"/>
      <c r="C565" s="132"/>
      <c r="D565" s="132"/>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85"/>
      <c r="B566" s="173"/>
      <c r="C566" s="132"/>
      <c r="D566" s="132"/>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85"/>
      <c r="B567" s="173"/>
      <c r="C567" s="132"/>
      <c r="D567" s="132"/>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85"/>
      <c r="B568" s="173"/>
      <c r="C568" s="132"/>
      <c r="D568" s="132"/>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85"/>
      <c r="B569" s="173"/>
      <c r="C569" s="132"/>
      <c r="D569" s="132"/>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85"/>
      <c r="B570" s="173"/>
      <c r="C570" s="132"/>
      <c r="D570" s="132"/>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85"/>
      <c r="B571" s="173"/>
      <c r="C571" s="132"/>
      <c r="D571" s="132"/>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85"/>
      <c r="B572" s="173"/>
      <c r="C572" s="132"/>
      <c r="D572" s="132"/>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85"/>
      <c r="B573" s="173"/>
      <c r="C573" s="132"/>
      <c r="D573" s="132"/>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85"/>
      <c r="B574" s="173"/>
      <c r="C574" s="132"/>
      <c r="D574" s="132"/>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85"/>
      <c r="B575" s="173"/>
      <c r="C575" s="132"/>
      <c r="D575" s="132"/>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85"/>
      <c r="B576" s="173"/>
      <c r="C576" s="132"/>
      <c r="D576" s="132"/>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85"/>
      <c r="B577" s="173"/>
      <c r="C577" s="132"/>
      <c r="D577" s="132"/>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85"/>
      <c r="B578" s="173"/>
      <c r="C578" s="132"/>
      <c r="D578" s="132"/>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85"/>
      <c r="B579" s="173"/>
      <c r="C579" s="132"/>
      <c r="D579" s="132"/>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85"/>
      <c r="B580" s="173"/>
      <c r="C580" s="132"/>
      <c r="D580" s="132"/>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85"/>
      <c r="B581" s="173"/>
      <c r="C581" s="132"/>
      <c r="D581" s="132"/>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85"/>
      <c r="B582" s="173"/>
      <c r="C582" s="132"/>
      <c r="D582" s="132"/>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85"/>
      <c r="B583" s="173"/>
      <c r="C583" s="132"/>
      <c r="D583" s="132"/>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85"/>
      <c r="B584" s="173"/>
      <c r="C584" s="132"/>
      <c r="D584" s="132"/>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85"/>
      <c r="B585" s="173"/>
      <c r="C585" s="132"/>
      <c r="D585" s="132"/>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85"/>
      <c r="B586" s="173"/>
      <c r="C586" s="132"/>
      <c r="D586" s="132"/>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85"/>
      <c r="B587" s="173"/>
      <c r="C587" s="132"/>
      <c r="D587" s="132"/>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85"/>
      <c r="B588" s="173"/>
      <c r="C588" s="132"/>
      <c r="D588" s="132"/>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85"/>
      <c r="B589" s="173"/>
      <c r="C589" s="132"/>
      <c r="D589" s="132"/>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85"/>
      <c r="B590" s="173"/>
      <c r="C590" s="132"/>
      <c r="D590" s="132"/>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85"/>
      <c r="B591" s="173"/>
      <c r="C591" s="132"/>
      <c r="D591" s="132"/>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85"/>
      <c r="B592" s="173"/>
      <c r="C592" s="132"/>
      <c r="D592" s="132"/>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85"/>
      <c r="B593" s="173"/>
      <c r="C593" s="132"/>
      <c r="D593" s="132"/>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85"/>
      <c r="B594" s="173"/>
      <c r="C594" s="132"/>
      <c r="D594" s="132"/>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85"/>
      <c r="B595" s="173"/>
      <c r="C595" s="132"/>
      <c r="D595" s="132"/>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85"/>
      <c r="B596" s="173"/>
      <c r="C596" s="132"/>
      <c r="D596" s="132"/>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85"/>
      <c r="B597" s="173"/>
      <c r="C597" s="132"/>
      <c r="D597" s="132"/>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85"/>
      <c r="B598" s="173"/>
      <c r="C598" s="132"/>
      <c r="D598" s="132"/>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85"/>
      <c r="B599" s="173"/>
      <c r="C599" s="132"/>
      <c r="D599" s="132"/>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85"/>
      <c r="B600" s="173"/>
      <c r="C600" s="132"/>
      <c r="D600" s="132"/>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85"/>
      <c r="B601" s="173"/>
      <c r="C601" s="132"/>
      <c r="D601" s="132"/>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85"/>
      <c r="B602" s="173"/>
      <c r="C602" s="132"/>
      <c r="D602" s="132"/>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85"/>
      <c r="B603" s="173"/>
      <c r="C603" s="132"/>
      <c r="D603" s="132"/>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85"/>
      <c r="B604" s="173"/>
      <c r="C604" s="132"/>
      <c r="D604" s="132"/>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85"/>
      <c r="B605" s="173"/>
      <c r="C605" s="132"/>
      <c r="D605" s="132"/>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85"/>
      <c r="B606" s="173"/>
      <c r="C606" s="132"/>
      <c r="D606" s="132"/>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85"/>
      <c r="B607" s="173"/>
      <c r="C607" s="132"/>
      <c r="D607" s="132"/>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85"/>
      <c r="B608" s="173"/>
      <c r="C608" s="132"/>
      <c r="D608" s="132"/>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85"/>
      <c r="B609" s="173"/>
      <c r="C609" s="132"/>
      <c r="D609" s="132"/>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85"/>
      <c r="B610" s="173"/>
      <c r="C610" s="132"/>
      <c r="D610" s="132"/>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85"/>
      <c r="B611" s="173"/>
      <c r="C611" s="132"/>
      <c r="D611" s="132"/>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85"/>
      <c r="B612" s="173"/>
      <c r="C612" s="132"/>
      <c r="D612" s="132"/>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85"/>
      <c r="B613" s="173"/>
      <c r="C613" s="132"/>
      <c r="D613" s="132"/>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85"/>
      <c r="B614" s="173"/>
      <c r="C614" s="132"/>
      <c r="D614" s="132"/>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85"/>
      <c r="B615" s="173"/>
      <c r="C615" s="132"/>
      <c r="D615" s="132"/>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85"/>
      <c r="B616" s="173"/>
      <c r="C616" s="132"/>
      <c r="D616" s="132"/>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85"/>
      <c r="B617" s="173"/>
      <c r="C617" s="132"/>
      <c r="D617" s="132"/>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85"/>
      <c r="B618" s="173"/>
      <c r="C618" s="132"/>
      <c r="D618" s="132"/>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85"/>
      <c r="B619" s="173"/>
      <c r="C619" s="132"/>
      <c r="D619" s="132"/>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85"/>
      <c r="B620" s="173"/>
      <c r="C620" s="132"/>
      <c r="D620" s="132"/>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85"/>
      <c r="B621" s="173"/>
      <c r="C621" s="132"/>
      <c r="D621" s="132"/>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85"/>
      <c r="B622" s="173"/>
      <c r="C622" s="132"/>
      <c r="D622" s="132"/>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85"/>
      <c r="B623" s="173"/>
      <c r="C623" s="132"/>
      <c r="D623" s="132"/>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85"/>
      <c r="B624" s="173"/>
      <c r="C624" s="132"/>
      <c r="D624" s="132"/>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85"/>
      <c r="B625" s="173"/>
      <c r="C625" s="132"/>
      <c r="D625" s="132"/>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85"/>
      <c r="B626" s="173"/>
      <c r="C626" s="132"/>
      <c r="D626" s="132"/>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85"/>
      <c r="B627" s="173"/>
      <c r="C627" s="132"/>
      <c r="D627" s="132"/>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85"/>
      <c r="B628" s="173"/>
      <c r="C628" s="132"/>
      <c r="D628" s="132"/>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85"/>
      <c r="B629" s="173"/>
      <c r="C629" s="132"/>
      <c r="D629" s="132"/>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85"/>
      <c r="B630" s="173"/>
      <c r="C630" s="132"/>
      <c r="D630" s="132"/>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85"/>
      <c r="B631" s="173"/>
      <c r="C631" s="132"/>
      <c r="D631" s="132"/>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85"/>
      <c r="B632" s="173"/>
      <c r="C632" s="132"/>
      <c r="D632" s="132"/>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85"/>
      <c r="B633" s="173"/>
      <c r="C633" s="132"/>
      <c r="D633" s="132"/>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85"/>
      <c r="B634" s="173"/>
      <c r="C634" s="132"/>
      <c r="D634" s="132"/>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85"/>
      <c r="B635" s="173"/>
      <c r="C635" s="132"/>
      <c r="D635" s="132"/>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85"/>
      <c r="B636" s="173"/>
      <c r="C636" s="132"/>
      <c r="D636" s="132"/>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85"/>
      <c r="B637" s="173"/>
      <c r="C637" s="132"/>
      <c r="D637" s="132"/>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85"/>
      <c r="B638" s="173"/>
      <c r="C638" s="132"/>
      <c r="D638" s="132"/>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85"/>
      <c r="B639" s="173"/>
      <c r="C639" s="132"/>
      <c r="D639" s="132"/>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85"/>
      <c r="B640" s="173"/>
      <c r="C640" s="132"/>
      <c r="D640" s="132"/>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85"/>
      <c r="B641" s="173"/>
      <c r="C641" s="132"/>
      <c r="D641" s="132"/>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85"/>
      <c r="B642" s="173"/>
      <c r="C642" s="132"/>
      <c r="D642" s="132"/>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85"/>
      <c r="B643" s="173"/>
      <c r="C643" s="132"/>
      <c r="D643" s="132"/>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85"/>
      <c r="B644" s="173"/>
      <c r="C644" s="132"/>
      <c r="D644" s="132"/>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85"/>
      <c r="B645" s="173"/>
      <c r="C645" s="132"/>
      <c r="D645" s="132"/>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85"/>
      <c r="B646" s="173"/>
      <c r="C646" s="132"/>
      <c r="D646" s="132"/>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85"/>
      <c r="B647" s="173"/>
      <c r="C647" s="132"/>
      <c r="D647" s="132"/>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85"/>
      <c r="B648" s="173"/>
      <c r="C648" s="132"/>
      <c r="D648" s="132"/>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85"/>
      <c r="B649" s="173"/>
      <c r="C649" s="132"/>
      <c r="D649" s="132"/>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85"/>
      <c r="B650" s="173"/>
      <c r="C650" s="132"/>
      <c r="D650" s="132"/>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85"/>
      <c r="B651" s="173"/>
      <c r="C651" s="132"/>
      <c r="D651" s="132"/>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85"/>
      <c r="B652" s="173"/>
      <c r="C652" s="132"/>
      <c r="D652" s="132"/>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85"/>
      <c r="B653" s="173"/>
      <c r="C653" s="132"/>
      <c r="D653" s="132"/>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85"/>
      <c r="B654" s="173"/>
      <c r="C654" s="132"/>
      <c r="D654" s="132"/>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85"/>
      <c r="B655" s="173"/>
      <c r="C655" s="132"/>
      <c r="D655" s="132"/>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85"/>
      <c r="B656" s="173"/>
      <c r="C656" s="132"/>
      <c r="D656" s="132"/>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85"/>
      <c r="B657" s="173"/>
      <c r="C657" s="132"/>
      <c r="D657" s="132"/>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85"/>
      <c r="B658" s="173"/>
      <c r="C658" s="132"/>
      <c r="D658" s="132"/>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85"/>
      <c r="B659" s="173"/>
      <c r="C659" s="132"/>
      <c r="D659" s="132"/>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85"/>
      <c r="B660" s="173"/>
      <c r="C660" s="132"/>
      <c r="D660" s="132"/>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85"/>
      <c r="B661" s="173"/>
      <c r="C661" s="132"/>
      <c r="D661" s="132"/>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85"/>
      <c r="B662" s="173"/>
      <c r="C662" s="132"/>
      <c r="D662" s="132"/>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85"/>
      <c r="B663" s="173"/>
      <c r="C663" s="132"/>
      <c r="D663" s="132"/>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85"/>
      <c r="B664" s="173"/>
      <c r="C664" s="132"/>
      <c r="D664" s="132"/>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85"/>
      <c r="B665" s="173"/>
      <c r="C665" s="132"/>
      <c r="D665" s="132"/>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85"/>
      <c r="B666" s="173"/>
      <c r="C666" s="132"/>
      <c r="D666" s="132"/>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85"/>
      <c r="B667" s="173"/>
      <c r="C667" s="132"/>
      <c r="D667" s="132"/>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85"/>
      <c r="B668" s="173"/>
      <c r="C668" s="132"/>
      <c r="D668" s="132"/>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85"/>
      <c r="B669" s="173"/>
      <c r="C669" s="132"/>
      <c r="D669" s="132"/>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85"/>
      <c r="B670" s="173"/>
      <c r="C670" s="132"/>
      <c r="D670" s="132"/>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85"/>
      <c r="B671" s="173"/>
      <c r="C671" s="132"/>
      <c r="D671" s="132"/>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85"/>
      <c r="B672" s="173"/>
      <c r="C672" s="132"/>
      <c r="D672" s="132"/>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85"/>
      <c r="B673" s="173"/>
      <c r="C673" s="132"/>
      <c r="D673" s="132"/>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85"/>
      <c r="B674" s="173"/>
      <c r="C674" s="132"/>
      <c r="D674" s="132"/>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85"/>
      <c r="B675" s="173"/>
      <c r="C675" s="132"/>
      <c r="D675" s="132"/>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85"/>
      <c r="B676" s="173"/>
      <c r="C676" s="132"/>
      <c r="D676" s="132"/>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85"/>
      <c r="B677" s="173"/>
      <c r="C677" s="132"/>
      <c r="D677" s="132"/>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85"/>
      <c r="B678" s="173"/>
      <c r="C678" s="132"/>
      <c r="D678" s="132"/>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85"/>
      <c r="B679" s="173"/>
      <c r="C679" s="132"/>
      <c r="D679" s="132"/>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85"/>
      <c r="B680" s="173"/>
      <c r="C680" s="132"/>
      <c r="D680" s="132"/>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85"/>
      <c r="B681" s="173"/>
      <c r="C681" s="132"/>
      <c r="D681" s="132"/>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85"/>
      <c r="B682" s="173"/>
      <c r="C682" s="132"/>
      <c r="D682" s="132"/>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85"/>
      <c r="B683" s="173"/>
      <c r="C683" s="132"/>
      <c r="D683" s="132"/>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85"/>
      <c r="B684" s="173"/>
      <c r="C684" s="132"/>
      <c r="D684" s="132"/>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85"/>
      <c r="B685" s="173"/>
      <c r="C685" s="132"/>
      <c r="D685" s="132"/>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85"/>
      <c r="B686" s="173"/>
      <c r="C686" s="132"/>
      <c r="D686" s="132"/>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85"/>
      <c r="B687" s="173"/>
      <c r="C687" s="132"/>
      <c r="D687" s="132"/>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85"/>
      <c r="B688" s="173"/>
      <c r="C688" s="132"/>
      <c r="D688" s="132"/>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85"/>
      <c r="B689" s="173"/>
      <c r="C689" s="132"/>
      <c r="D689" s="132"/>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85"/>
      <c r="B690" s="173"/>
      <c r="C690" s="132"/>
      <c r="D690" s="132"/>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85"/>
      <c r="B691" s="173"/>
      <c r="C691" s="132"/>
      <c r="D691" s="132"/>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85"/>
      <c r="B692" s="173"/>
      <c r="C692" s="132"/>
      <c r="D692" s="132"/>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85"/>
      <c r="B693" s="173"/>
      <c r="C693" s="132"/>
      <c r="D693" s="132"/>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85"/>
      <c r="B694" s="173"/>
      <c r="C694" s="132"/>
      <c r="D694" s="132"/>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85"/>
      <c r="B695" s="173"/>
      <c r="C695" s="132"/>
      <c r="D695" s="132"/>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85"/>
      <c r="B696" s="173"/>
      <c r="C696" s="132"/>
      <c r="D696" s="132"/>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85"/>
      <c r="B697" s="173"/>
      <c r="C697" s="132"/>
      <c r="D697" s="132"/>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85"/>
      <c r="B698" s="173"/>
      <c r="C698" s="132"/>
      <c r="D698" s="132"/>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85"/>
      <c r="B699" s="173"/>
      <c r="C699" s="132"/>
      <c r="D699" s="132"/>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85"/>
      <c r="B700" s="173"/>
      <c r="C700" s="132"/>
      <c r="D700" s="132"/>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85"/>
      <c r="B701" s="173"/>
      <c r="C701" s="132"/>
      <c r="D701" s="132"/>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85"/>
      <c r="B702" s="173"/>
      <c r="C702" s="132"/>
      <c r="D702" s="132"/>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85"/>
      <c r="B703" s="173"/>
      <c r="C703" s="132"/>
      <c r="D703" s="132"/>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85"/>
      <c r="B704" s="173"/>
      <c r="C704" s="132"/>
      <c r="D704" s="132"/>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85"/>
      <c r="B705" s="173"/>
      <c r="C705" s="132"/>
      <c r="D705" s="132"/>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85"/>
      <c r="B706" s="173"/>
      <c r="C706" s="132"/>
      <c r="D706" s="132"/>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85"/>
      <c r="B707" s="173"/>
      <c r="C707" s="132"/>
      <c r="D707" s="132"/>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85"/>
      <c r="B708" s="173"/>
      <c r="C708" s="132"/>
      <c r="D708" s="132"/>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85"/>
      <c r="B709" s="173"/>
      <c r="C709" s="132"/>
      <c r="D709" s="132"/>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85"/>
      <c r="B710" s="173"/>
      <c r="C710" s="132"/>
      <c r="D710" s="132"/>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85"/>
      <c r="B711" s="173"/>
      <c r="C711" s="132"/>
      <c r="D711" s="132"/>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85"/>
      <c r="B712" s="173"/>
      <c r="C712" s="132"/>
      <c r="D712" s="132"/>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85"/>
      <c r="B713" s="173"/>
      <c r="C713" s="132"/>
      <c r="D713" s="132"/>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85"/>
      <c r="B714" s="173"/>
      <c r="C714" s="132"/>
      <c r="D714" s="132"/>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85"/>
      <c r="B715" s="173"/>
      <c r="C715" s="132"/>
      <c r="D715" s="132"/>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85"/>
      <c r="B716" s="173"/>
      <c r="C716" s="132"/>
      <c r="D716" s="132"/>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85"/>
      <c r="B717" s="173"/>
      <c r="C717" s="132"/>
      <c r="D717" s="132"/>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85"/>
      <c r="B718" s="173"/>
      <c r="C718" s="132"/>
      <c r="D718" s="132"/>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85"/>
      <c r="B719" s="173"/>
      <c r="C719" s="132"/>
      <c r="D719" s="132"/>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85"/>
      <c r="B720" s="173"/>
      <c r="C720" s="132"/>
      <c r="D720" s="132"/>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85"/>
      <c r="B721" s="173"/>
      <c r="C721" s="132"/>
      <c r="D721" s="132"/>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85"/>
      <c r="B722" s="173"/>
      <c r="C722" s="132"/>
      <c r="D722" s="132"/>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85"/>
      <c r="B723" s="173"/>
      <c r="C723" s="132"/>
      <c r="D723" s="132"/>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85"/>
      <c r="B724" s="173"/>
      <c r="C724" s="132"/>
      <c r="D724" s="132"/>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85"/>
      <c r="B725" s="173"/>
      <c r="C725" s="132"/>
      <c r="D725" s="132"/>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85"/>
      <c r="B726" s="173"/>
      <c r="C726" s="132"/>
      <c r="D726" s="132"/>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85"/>
      <c r="B727" s="173"/>
      <c r="C727" s="132"/>
      <c r="D727" s="132"/>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85"/>
      <c r="B728" s="173"/>
      <c r="C728" s="132"/>
      <c r="D728" s="132"/>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85"/>
      <c r="B729" s="173"/>
      <c r="C729" s="132"/>
      <c r="D729" s="132"/>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85"/>
      <c r="B730" s="173"/>
      <c r="C730" s="132"/>
      <c r="D730" s="132"/>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85"/>
      <c r="B731" s="173"/>
      <c r="C731" s="132"/>
      <c r="D731" s="132"/>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85"/>
      <c r="B732" s="173"/>
      <c r="C732" s="132"/>
      <c r="D732" s="132"/>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85"/>
      <c r="B733" s="173"/>
      <c r="C733" s="132"/>
      <c r="D733" s="132"/>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85"/>
      <c r="B734" s="173"/>
      <c r="C734" s="132"/>
      <c r="D734" s="132"/>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85"/>
      <c r="B735" s="173"/>
      <c r="C735" s="132"/>
      <c r="D735" s="132"/>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85"/>
      <c r="B736" s="173"/>
      <c r="C736" s="132"/>
      <c r="D736" s="132"/>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85"/>
      <c r="B737" s="173"/>
      <c r="C737" s="132"/>
      <c r="D737" s="132"/>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85"/>
      <c r="B738" s="173"/>
      <c r="C738" s="132"/>
      <c r="D738" s="132"/>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85"/>
      <c r="B739" s="173"/>
      <c r="C739" s="132"/>
      <c r="D739" s="132"/>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85"/>
      <c r="B740" s="173"/>
      <c r="C740" s="132"/>
      <c r="D740" s="132"/>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85"/>
      <c r="B741" s="173"/>
      <c r="C741" s="132"/>
      <c r="D741" s="132"/>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85"/>
      <c r="B742" s="173"/>
      <c r="C742" s="132"/>
      <c r="D742" s="132"/>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85"/>
      <c r="B743" s="173"/>
      <c r="C743" s="132"/>
      <c r="D743" s="132"/>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85"/>
      <c r="B744" s="173"/>
      <c r="C744" s="132"/>
      <c r="D744" s="132"/>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85"/>
      <c r="B745" s="173"/>
      <c r="C745" s="132"/>
      <c r="D745" s="132"/>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85"/>
      <c r="B746" s="173"/>
      <c r="C746" s="132"/>
      <c r="D746" s="132"/>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85"/>
      <c r="B747" s="173"/>
      <c r="C747" s="132"/>
      <c r="D747" s="132"/>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85"/>
      <c r="B748" s="173"/>
      <c r="C748" s="132"/>
      <c r="D748" s="132"/>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85"/>
      <c r="B749" s="173"/>
      <c r="C749" s="132"/>
      <c r="D749" s="132"/>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85"/>
      <c r="B750" s="173"/>
      <c r="C750" s="132"/>
      <c r="D750" s="132"/>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85"/>
      <c r="B751" s="173"/>
      <c r="C751" s="132"/>
      <c r="D751" s="132"/>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85"/>
      <c r="B752" s="173"/>
      <c r="C752" s="132"/>
      <c r="D752" s="132"/>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85"/>
      <c r="B753" s="173"/>
      <c r="C753" s="132"/>
      <c r="D753" s="132"/>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85"/>
      <c r="B754" s="173"/>
      <c r="C754" s="132"/>
      <c r="D754" s="132"/>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85"/>
      <c r="B755" s="173"/>
      <c r="C755" s="132"/>
      <c r="D755" s="132"/>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85"/>
      <c r="B756" s="173"/>
      <c r="C756" s="132"/>
      <c r="D756" s="132"/>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85"/>
      <c r="B757" s="173"/>
      <c r="C757" s="132"/>
      <c r="D757" s="132"/>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85"/>
      <c r="B758" s="173"/>
      <c r="C758" s="132"/>
      <c r="D758" s="132"/>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85"/>
      <c r="B759" s="173"/>
      <c r="C759" s="132"/>
      <c r="D759" s="132"/>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85"/>
      <c r="B760" s="173"/>
      <c r="C760" s="132"/>
      <c r="D760" s="132"/>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85"/>
      <c r="B761" s="173"/>
      <c r="C761" s="132"/>
      <c r="D761" s="132"/>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85"/>
      <c r="B762" s="173"/>
      <c r="C762" s="132"/>
      <c r="D762" s="132"/>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85"/>
      <c r="B763" s="173"/>
      <c r="C763" s="132"/>
      <c r="D763" s="132"/>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85"/>
      <c r="B764" s="173"/>
      <c r="C764" s="132"/>
      <c r="D764" s="132"/>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85"/>
      <c r="B765" s="173"/>
      <c r="C765" s="132"/>
      <c r="D765" s="132"/>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85"/>
      <c r="B766" s="173"/>
      <c r="C766" s="132"/>
      <c r="D766" s="132"/>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85"/>
      <c r="B767" s="173"/>
      <c r="C767" s="132"/>
      <c r="D767" s="132"/>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85"/>
      <c r="B768" s="173"/>
      <c r="C768" s="132"/>
      <c r="D768" s="132"/>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85"/>
      <c r="B769" s="173"/>
      <c r="C769" s="132"/>
      <c r="D769" s="132"/>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85"/>
      <c r="B770" s="173"/>
      <c r="C770" s="132"/>
      <c r="D770" s="132"/>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85"/>
      <c r="B771" s="173"/>
      <c r="C771" s="132"/>
      <c r="D771" s="132"/>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85"/>
      <c r="B772" s="173"/>
      <c r="C772" s="132"/>
      <c r="D772" s="132"/>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85"/>
      <c r="B773" s="173"/>
      <c r="C773" s="132"/>
      <c r="D773" s="132"/>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85"/>
      <c r="B774" s="173"/>
      <c r="C774" s="132"/>
      <c r="D774" s="132"/>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85"/>
      <c r="B775" s="173"/>
      <c r="C775" s="132"/>
      <c r="D775" s="132"/>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85"/>
      <c r="B776" s="173"/>
      <c r="C776" s="132"/>
      <c r="D776" s="132"/>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85"/>
      <c r="B777" s="173"/>
      <c r="C777" s="132"/>
      <c r="D777" s="132"/>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85"/>
      <c r="B778" s="173"/>
      <c r="C778" s="132"/>
      <c r="D778" s="132"/>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85"/>
      <c r="B779" s="173"/>
      <c r="C779" s="132"/>
      <c r="D779" s="132"/>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85"/>
      <c r="B780" s="173"/>
      <c r="C780" s="132"/>
      <c r="D780" s="132"/>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85"/>
      <c r="B781" s="173"/>
      <c r="C781" s="132"/>
      <c r="D781" s="132"/>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85"/>
      <c r="B782" s="173"/>
      <c r="C782" s="132"/>
      <c r="D782" s="132"/>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85"/>
      <c r="B783" s="173"/>
      <c r="C783" s="132"/>
      <c r="D783" s="132"/>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85"/>
      <c r="B784" s="173"/>
      <c r="C784" s="132"/>
      <c r="D784" s="132"/>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85"/>
      <c r="B785" s="173"/>
      <c r="C785" s="132"/>
      <c r="D785" s="132"/>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85"/>
      <c r="B786" s="173"/>
      <c r="C786" s="132"/>
      <c r="D786" s="132"/>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85"/>
      <c r="B787" s="173"/>
      <c r="C787" s="132"/>
      <c r="D787" s="132"/>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85"/>
      <c r="B788" s="173"/>
      <c r="C788" s="132"/>
      <c r="D788" s="132"/>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85"/>
      <c r="B789" s="173"/>
      <c r="C789" s="132"/>
      <c r="D789" s="132"/>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85"/>
      <c r="B790" s="173"/>
      <c r="C790" s="132"/>
      <c r="D790" s="132"/>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85"/>
      <c r="B791" s="173"/>
      <c r="C791" s="132"/>
      <c r="D791" s="132"/>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85"/>
      <c r="B792" s="173"/>
      <c r="C792" s="132"/>
      <c r="D792" s="132"/>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85"/>
      <c r="B793" s="173"/>
      <c r="C793" s="132"/>
      <c r="D793" s="132"/>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85"/>
      <c r="B794" s="173"/>
      <c r="C794" s="132"/>
      <c r="D794" s="132"/>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85"/>
      <c r="B795" s="173"/>
      <c r="C795" s="132"/>
      <c r="D795" s="132"/>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85"/>
      <c r="B796" s="173"/>
      <c r="C796" s="132"/>
      <c r="D796" s="132"/>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85"/>
      <c r="B797" s="173"/>
      <c r="C797" s="132"/>
      <c r="D797" s="132"/>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85"/>
      <c r="B798" s="173"/>
      <c r="C798" s="132"/>
      <c r="D798" s="132"/>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85"/>
      <c r="B799" s="173"/>
      <c r="C799" s="132"/>
      <c r="D799" s="132"/>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85"/>
      <c r="B800" s="173"/>
      <c r="C800" s="132"/>
      <c r="D800" s="132"/>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85"/>
      <c r="B801" s="173"/>
      <c r="C801" s="132"/>
      <c r="D801" s="132"/>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85"/>
      <c r="B802" s="173"/>
      <c r="C802" s="132"/>
      <c r="D802" s="132"/>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85"/>
      <c r="B803" s="173"/>
      <c r="C803" s="132"/>
      <c r="D803" s="132"/>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85"/>
      <c r="B804" s="173"/>
      <c r="C804" s="132"/>
      <c r="D804" s="132"/>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85"/>
      <c r="B805" s="173"/>
      <c r="C805" s="132"/>
      <c r="D805" s="132"/>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85"/>
      <c r="B806" s="173"/>
      <c r="C806" s="132"/>
      <c r="D806" s="132"/>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85"/>
      <c r="B807" s="173"/>
      <c r="C807" s="132"/>
      <c r="D807" s="132"/>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85"/>
      <c r="B808" s="173"/>
      <c r="C808" s="132"/>
      <c r="D808" s="132"/>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85"/>
      <c r="B809" s="173"/>
      <c r="C809" s="132"/>
      <c r="D809" s="132"/>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85"/>
      <c r="B810" s="173"/>
      <c r="C810" s="132"/>
      <c r="D810" s="132"/>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85"/>
      <c r="B811" s="173"/>
      <c r="C811" s="132"/>
      <c r="D811" s="132"/>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85"/>
      <c r="B812" s="173"/>
      <c r="C812" s="132"/>
      <c r="D812" s="132"/>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85"/>
      <c r="B813" s="173"/>
      <c r="C813" s="132"/>
      <c r="D813" s="132"/>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85"/>
      <c r="B814" s="173"/>
      <c r="C814" s="132"/>
      <c r="D814" s="132"/>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85"/>
      <c r="B815" s="173"/>
      <c r="C815" s="132"/>
      <c r="D815" s="132"/>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85"/>
      <c r="B816" s="173"/>
      <c r="C816" s="132"/>
      <c r="D816" s="132"/>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85"/>
      <c r="B817" s="173"/>
      <c r="C817" s="132"/>
      <c r="D817" s="132"/>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85"/>
      <c r="B818" s="173"/>
      <c r="C818" s="132"/>
      <c r="D818" s="132"/>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85"/>
      <c r="B819" s="173"/>
      <c r="C819" s="132"/>
      <c r="D819" s="132"/>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85"/>
      <c r="B820" s="173"/>
      <c r="C820" s="132"/>
      <c r="D820" s="132"/>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85"/>
      <c r="B821" s="173"/>
      <c r="C821" s="132"/>
      <c r="D821" s="132"/>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85"/>
      <c r="B822" s="173"/>
      <c r="C822" s="132"/>
      <c r="D822" s="132"/>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85"/>
      <c r="B823" s="173"/>
      <c r="C823" s="132"/>
      <c r="D823" s="132"/>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85"/>
      <c r="B824" s="173"/>
      <c r="C824" s="132"/>
      <c r="D824" s="132"/>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85"/>
      <c r="B825" s="173"/>
      <c r="C825" s="132"/>
      <c r="D825" s="132"/>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85"/>
      <c r="B826" s="173"/>
      <c r="C826" s="132"/>
      <c r="D826" s="132"/>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85"/>
      <c r="B827" s="173"/>
      <c r="C827" s="132"/>
      <c r="D827" s="132"/>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85"/>
      <c r="B828" s="173"/>
      <c r="C828" s="132"/>
      <c r="D828" s="132"/>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85"/>
      <c r="B829" s="173"/>
      <c r="C829" s="132"/>
      <c r="D829" s="132"/>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85"/>
      <c r="B830" s="173"/>
      <c r="C830" s="132"/>
      <c r="D830" s="132"/>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85"/>
      <c r="B831" s="173"/>
      <c r="C831" s="132"/>
      <c r="D831" s="132"/>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85"/>
      <c r="B832" s="173"/>
      <c r="C832" s="132"/>
      <c r="D832" s="132"/>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85"/>
      <c r="B833" s="173"/>
      <c r="C833" s="132"/>
      <c r="D833" s="132"/>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85"/>
      <c r="B834" s="173"/>
      <c r="C834" s="132"/>
      <c r="D834" s="132"/>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85"/>
      <c r="B835" s="173"/>
      <c r="C835" s="132"/>
      <c r="D835" s="132"/>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85"/>
      <c r="B836" s="173"/>
      <c r="C836" s="132"/>
      <c r="D836" s="132"/>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85"/>
      <c r="B837" s="173"/>
      <c r="C837" s="132"/>
      <c r="D837" s="132"/>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85"/>
      <c r="B838" s="173"/>
      <c r="C838" s="132"/>
      <c r="D838" s="132"/>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85"/>
      <c r="B839" s="173"/>
      <c r="C839" s="132"/>
      <c r="D839" s="132"/>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85"/>
      <c r="B840" s="173"/>
      <c r="C840" s="132"/>
      <c r="D840" s="132"/>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85"/>
      <c r="B841" s="173"/>
      <c r="C841" s="132"/>
      <c r="D841" s="132"/>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85"/>
      <c r="B842" s="173"/>
      <c r="C842" s="132"/>
      <c r="D842" s="132"/>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85"/>
      <c r="B843" s="173"/>
      <c r="C843" s="132"/>
      <c r="D843" s="132"/>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85"/>
      <c r="B844" s="173"/>
      <c r="C844" s="132"/>
      <c r="D844" s="132"/>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85"/>
      <c r="B845" s="173"/>
      <c r="C845" s="132"/>
      <c r="D845" s="132"/>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85"/>
      <c r="B846" s="173"/>
      <c r="C846" s="132"/>
      <c r="D846" s="132"/>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85"/>
      <c r="B847" s="173"/>
      <c r="C847" s="132"/>
      <c r="D847" s="132"/>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85"/>
      <c r="B848" s="173"/>
      <c r="C848" s="132"/>
      <c r="D848" s="132"/>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85"/>
      <c r="B849" s="173"/>
      <c r="C849" s="132"/>
      <c r="D849" s="132"/>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85"/>
      <c r="B850" s="173"/>
      <c r="C850" s="132"/>
      <c r="D850" s="132"/>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85"/>
      <c r="B851" s="173"/>
      <c r="C851" s="132"/>
      <c r="D851" s="132"/>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85"/>
      <c r="B852" s="173"/>
      <c r="C852" s="132"/>
      <c r="D852" s="132"/>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85"/>
      <c r="B853" s="173"/>
      <c r="C853" s="132"/>
      <c r="D853" s="132"/>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85"/>
      <c r="B854" s="173"/>
      <c r="C854" s="132"/>
      <c r="D854" s="132"/>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85"/>
      <c r="B855" s="173"/>
      <c r="C855" s="132"/>
      <c r="D855" s="132"/>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85"/>
      <c r="B856" s="173"/>
      <c r="C856" s="132"/>
      <c r="D856" s="132"/>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85"/>
      <c r="B857" s="173"/>
      <c r="C857" s="132"/>
      <c r="D857" s="132"/>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85"/>
      <c r="B858" s="173"/>
      <c r="C858" s="132"/>
      <c r="D858" s="132"/>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85"/>
      <c r="B859" s="173"/>
      <c r="C859" s="132"/>
      <c r="D859" s="132"/>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85"/>
      <c r="B860" s="173"/>
      <c r="C860" s="132"/>
      <c r="D860" s="132"/>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85"/>
      <c r="B861" s="173"/>
      <c r="C861" s="132"/>
      <c r="D861" s="132"/>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85"/>
      <c r="B862" s="173"/>
      <c r="C862" s="132"/>
      <c r="D862" s="132"/>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85"/>
      <c r="B863" s="173"/>
      <c r="C863" s="132"/>
      <c r="D863" s="132"/>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85"/>
      <c r="B864" s="173"/>
      <c r="C864" s="132"/>
      <c r="D864" s="132"/>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85"/>
      <c r="B865" s="173"/>
      <c r="C865" s="132"/>
      <c r="D865" s="132"/>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85"/>
      <c r="B866" s="173"/>
      <c r="C866" s="132"/>
      <c r="D866" s="132"/>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85"/>
      <c r="B867" s="173"/>
      <c r="C867" s="132"/>
      <c r="D867" s="132"/>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85"/>
      <c r="B868" s="173"/>
      <c r="C868" s="132"/>
      <c r="D868" s="132"/>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85"/>
      <c r="B869" s="173"/>
      <c r="C869" s="132"/>
      <c r="D869" s="132"/>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85"/>
      <c r="B870" s="173"/>
      <c r="C870" s="132"/>
      <c r="D870" s="132"/>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85"/>
      <c r="B871" s="173"/>
      <c r="C871" s="132"/>
      <c r="D871" s="132"/>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85"/>
      <c r="B872" s="173"/>
      <c r="C872" s="132"/>
      <c r="D872" s="132"/>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85"/>
      <c r="B873" s="173"/>
      <c r="C873" s="132"/>
      <c r="D873" s="132"/>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85"/>
      <c r="B874" s="173"/>
      <c r="C874" s="132"/>
      <c r="D874" s="132"/>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85"/>
      <c r="B875" s="173"/>
      <c r="C875" s="132"/>
      <c r="D875" s="132"/>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85"/>
      <c r="B876" s="173"/>
      <c r="C876" s="132"/>
      <c r="D876" s="132"/>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85"/>
      <c r="B877" s="173"/>
      <c r="C877" s="132"/>
      <c r="D877" s="132"/>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85"/>
      <c r="B878" s="173"/>
      <c r="C878" s="132"/>
      <c r="D878" s="132"/>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85"/>
      <c r="B879" s="173"/>
      <c r="C879" s="132"/>
      <c r="D879" s="132"/>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85"/>
      <c r="B880" s="173"/>
      <c r="C880" s="132"/>
      <c r="D880" s="132"/>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85"/>
      <c r="B881" s="173"/>
      <c r="C881" s="132"/>
      <c r="D881" s="132"/>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85"/>
      <c r="B882" s="173"/>
      <c r="C882" s="132"/>
      <c r="D882" s="132"/>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85"/>
      <c r="B883" s="173"/>
      <c r="C883" s="132"/>
      <c r="D883" s="132"/>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85"/>
      <c r="B884" s="173"/>
      <c r="C884" s="132"/>
      <c r="D884" s="132"/>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85"/>
      <c r="B885" s="173"/>
      <c r="C885" s="132"/>
      <c r="D885" s="132"/>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85"/>
      <c r="B886" s="173"/>
      <c r="C886" s="132"/>
      <c r="D886" s="132"/>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85"/>
      <c r="B887" s="173"/>
      <c r="C887" s="132"/>
      <c r="D887" s="132"/>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85"/>
      <c r="B888" s="173"/>
      <c r="C888" s="132"/>
      <c r="D888" s="132"/>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85"/>
      <c r="B889" s="173"/>
      <c r="C889" s="132"/>
      <c r="D889" s="132"/>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85"/>
      <c r="B890" s="173"/>
      <c r="C890" s="132"/>
      <c r="D890" s="132"/>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85"/>
      <c r="B891" s="173"/>
      <c r="C891" s="132"/>
      <c r="D891" s="132"/>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85"/>
      <c r="B892" s="173"/>
      <c r="C892" s="132"/>
      <c r="D892" s="132"/>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85"/>
      <c r="B893" s="173"/>
      <c r="C893" s="132"/>
      <c r="D893" s="132"/>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85"/>
      <c r="B894" s="173"/>
      <c r="C894" s="132"/>
      <c r="D894" s="132"/>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85"/>
      <c r="B895" s="173"/>
      <c r="C895" s="132"/>
      <c r="D895" s="132"/>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85"/>
      <c r="B896" s="173"/>
      <c r="C896" s="132"/>
      <c r="D896" s="132"/>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85"/>
      <c r="B897" s="173"/>
      <c r="C897" s="132"/>
      <c r="D897" s="132"/>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85"/>
      <c r="B898" s="173"/>
      <c r="C898" s="132"/>
      <c r="D898" s="132"/>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85"/>
      <c r="B899" s="173"/>
      <c r="C899" s="132"/>
      <c r="D899" s="132"/>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85"/>
      <c r="B900" s="173"/>
      <c r="C900" s="132"/>
      <c r="D900" s="132"/>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85"/>
      <c r="B901" s="173"/>
      <c r="C901" s="132"/>
      <c r="D901" s="132"/>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85"/>
      <c r="B902" s="173"/>
      <c r="C902" s="132"/>
      <c r="D902" s="132"/>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85"/>
      <c r="B903" s="173"/>
      <c r="C903" s="132"/>
      <c r="D903" s="132"/>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85"/>
      <c r="B904" s="173"/>
      <c r="C904" s="132"/>
      <c r="D904" s="132"/>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85"/>
      <c r="B905" s="173"/>
      <c r="C905" s="132"/>
      <c r="D905" s="132"/>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85"/>
      <c r="B906" s="173"/>
      <c r="C906" s="132"/>
      <c r="D906" s="132"/>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85"/>
      <c r="B907" s="173"/>
      <c r="C907" s="132"/>
      <c r="D907" s="132"/>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85"/>
      <c r="B908" s="173"/>
      <c r="C908" s="132"/>
      <c r="D908" s="132"/>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85"/>
      <c r="B909" s="173"/>
      <c r="C909" s="132"/>
      <c r="D909" s="132"/>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85"/>
      <c r="B910" s="173"/>
      <c r="C910" s="132"/>
      <c r="D910" s="132"/>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85"/>
      <c r="B911" s="173"/>
      <c r="C911" s="132"/>
      <c r="D911" s="132"/>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85"/>
      <c r="B912" s="173"/>
      <c r="C912" s="132"/>
      <c r="D912" s="132"/>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85"/>
      <c r="B913" s="173"/>
      <c r="C913" s="132"/>
      <c r="D913" s="132"/>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85"/>
      <c r="B914" s="173"/>
      <c r="C914" s="132"/>
      <c r="D914" s="132"/>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85"/>
      <c r="B915" s="173"/>
      <c r="C915" s="132"/>
      <c r="D915" s="132"/>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85"/>
      <c r="B916" s="173"/>
      <c r="C916" s="132"/>
      <c r="D916" s="132"/>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85"/>
      <c r="B917" s="173"/>
      <c r="C917" s="132"/>
      <c r="D917" s="132"/>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85"/>
      <c r="B918" s="173"/>
      <c r="C918" s="132"/>
      <c r="D918" s="132"/>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85"/>
      <c r="B919" s="173"/>
      <c r="C919" s="132"/>
      <c r="D919" s="132"/>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85"/>
      <c r="B920" s="173"/>
      <c r="C920" s="132"/>
      <c r="D920" s="132"/>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85"/>
      <c r="B921" s="173"/>
      <c r="C921" s="132"/>
      <c r="D921" s="132"/>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85"/>
      <c r="B922" s="173"/>
      <c r="C922" s="132"/>
      <c r="D922" s="132"/>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85"/>
      <c r="B923" s="173"/>
      <c r="C923" s="132"/>
      <c r="D923" s="132"/>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85"/>
      <c r="B924" s="173"/>
      <c r="C924" s="132"/>
      <c r="D924" s="132"/>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85"/>
      <c r="B925" s="173"/>
      <c r="C925" s="132"/>
      <c r="D925" s="132"/>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85"/>
      <c r="B926" s="173"/>
      <c r="C926" s="132"/>
      <c r="D926" s="132"/>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85"/>
      <c r="B927" s="173"/>
      <c r="C927" s="132"/>
      <c r="D927" s="132"/>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85"/>
      <c r="B928" s="173"/>
      <c r="C928" s="132"/>
      <c r="D928" s="132"/>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85"/>
      <c r="B929" s="173"/>
      <c r="C929" s="132"/>
      <c r="D929" s="132"/>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85"/>
      <c r="B930" s="173"/>
      <c r="C930" s="132"/>
      <c r="D930" s="132"/>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85"/>
      <c r="B931" s="173"/>
      <c r="C931" s="132"/>
      <c r="D931" s="132"/>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85"/>
      <c r="B932" s="173"/>
      <c r="C932" s="132"/>
      <c r="D932" s="132"/>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85"/>
      <c r="B933" s="173"/>
      <c r="C933" s="132"/>
      <c r="D933" s="132"/>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85"/>
      <c r="B934" s="173"/>
      <c r="C934" s="132"/>
      <c r="D934" s="132"/>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85"/>
      <c r="B935" s="173"/>
      <c r="C935" s="132"/>
      <c r="D935" s="132"/>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85"/>
      <c r="B936" s="173"/>
      <c r="C936" s="132"/>
      <c r="D936" s="132"/>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85"/>
      <c r="B937" s="173"/>
      <c r="C937" s="132"/>
      <c r="D937" s="132"/>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85"/>
      <c r="B938" s="173"/>
      <c r="C938" s="132"/>
      <c r="D938" s="132"/>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85"/>
      <c r="B939" s="173"/>
      <c r="C939" s="132"/>
      <c r="D939" s="132"/>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85"/>
      <c r="B940" s="173"/>
      <c r="C940" s="132"/>
      <c r="D940" s="132"/>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85"/>
      <c r="B941" s="173"/>
      <c r="C941" s="132"/>
      <c r="D941" s="132"/>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85"/>
      <c r="B942" s="173"/>
      <c r="C942" s="132"/>
      <c r="D942" s="132"/>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85"/>
      <c r="B943" s="173"/>
      <c r="C943" s="132"/>
      <c r="D943" s="132"/>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85"/>
      <c r="B944" s="173"/>
      <c r="C944" s="132"/>
      <c r="D944" s="132"/>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85"/>
      <c r="B945" s="173"/>
      <c r="C945" s="132"/>
      <c r="D945" s="132"/>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85"/>
      <c r="B946" s="173"/>
      <c r="C946" s="132"/>
      <c r="D946" s="132"/>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85"/>
      <c r="B947" s="173"/>
      <c r="C947" s="132"/>
      <c r="D947" s="132"/>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85"/>
      <c r="B948" s="173"/>
      <c r="C948" s="132"/>
      <c r="D948" s="132"/>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85"/>
      <c r="B949" s="173"/>
      <c r="C949" s="132"/>
      <c r="D949" s="132"/>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85"/>
      <c r="B950" s="173"/>
      <c r="C950" s="132"/>
      <c r="D950" s="132"/>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85"/>
      <c r="B951" s="173"/>
      <c r="C951" s="132"/>
      <c r="D951" s="132"/>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85"/>
      <c r="B952" s="173"/>
      <c r="C952" s="132"/>
      <c r="D952" s="132"/>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85"/>
      <c r="B953" s="173"/>
      <c r="C953" s="132"/>
      <c r="D953" s="132"/>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85"/>
      <c r="B954" s="173"/>
      <c r="C954" s="132"/>
      <c r="D954" s="132"/>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85"/>
      <c r="B955" s="173"/>
      <c r="C955" s="132"/>
      <c r="D955" s="132"/>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85"/>
      <c r="B956" s="173"/>
      <c r="C956" s="132"/>
      <c r="D956" s="132"/>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85"/>
      <c r="B957" s="173"/>
      <c r="C957" s="132"/>
      <c r="D957" s="132"/>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85"/>
      <c r="B958" s="173"/>
      <c r="C958" s="132"/>
      <c r="D958" s="132"/>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85"/>
      <c r="B959" s="173"/>
      <c r="C959" s="132"/>
      <c r="D959" s="132"/>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85"/>
      <c r="B960" s="173"/>
      <c r="C960" s="132"/>
      <c r="D960" s="132"/>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85"/>
      <c r="B961" s="173"/>
      <c r="C961" s="132"/>
      <c r="D961" s="132"/>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85"/>
      <c r="B962" s="173"/>
      <c r="C962" s="132"/>
      <c r="D962" s="132"/>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85"/>
      <c r="B963" s="173"/>
      <c r="C963" s="132"/>
      <c r="D963" s="132"/>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85"/>
      <c r="B964" s="173"/>
      <c r="C964" s="132"/>
      <c r="D964" s="132"/>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85"/>
      <c r="B965" s="173"/>
      <c r="C965" s="132"/>
      <c r="D965" s="132"/>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85"/>
      <c r="B966" s="173"/>
      <c r="C966" s="132"/>
      <c r="D966" s="132"/>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85"/>
      <c r="B967" s="173"/>
      <c r="C967" s="132"/>
      <c r="D967" s="132"/>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85"/>
      <c r="B968" s="173"/>
      <c r="C968" s="132"/>
      <c r="D968" s="132"/>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85"/>
      <c r="B969" s="173"/>
      <c r="C969" s="132"/>
      <c r="D969" s="132"/>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85"/>
      <c r="B970" s="173"/>
      <c r="C970" s="132"/>
      <c r="D970" s="132"/>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85"/>
      <c r="B971" s="173"/>
      <c r="C971" s="132"/>
      <c r="D971" s="132"/>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85"/>
      <c r="B972" s="173"/>
      <c r="C972" s="132"/>
      <c r="D972" s="132"/>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85"/>
      <c r="B973" s="173"/>
      <c r="C973" s="132"/>
      <c r="D973" s="132"/>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85"/>
      <c r="B974" s="173"/>
      <c r="C974" s="132"/>
      <c r="D974" s="132"/>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85"/>
      <c r="B975" s="173"/>
      <c r="C975" s="132"/>
      <c r="D975" s="132"/>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85"/>
      <c r="B976" s="173"/>
      <c r="C976" s="132"/>
      <c r="D976" s="132"/>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85"/>
      <c r="B977" s="173"/>
      <c r="C977" s="132"/>
      <c r="D977" s="132"/>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85"/>
      <c r="B978" s="173"/>
      <c r="C978" s="132"/>
      <c r="D978" s="132"/>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85"/>
      <c r="B979" s="173"/>
      <c r="C979" s="132"/>
      <c r="D979" s="132"/>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85"/>
      <c r="B980" s="173"/>
      <c r="C980" s="132"/>
      <c r="D980" s="132"/>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85"/>
      <c r="B981" s="173"/>
      <c r="C981" s="132"/>
      <c r="D981" s="132"/>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85"/>
      <c r="B982" s="173"/>
      <c r="C982" s="132"/>
      <c r="D982" s="132"/>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85"/>
      <c r="B983" s="173"/>
      <c r="C983" s="132"/>
      <c r="D983" s="132"/>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85"/>
      <c r="B984" s="173"/>
      <c r="C984" s="132"/>
      <c r="D984" s="132"/>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85"/>
      <c r="B985" s="173"/>
      <c r="C985" s="132"/>
      <c r="D985" s="132"/>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85"/>
      <c r="B986" s="173"/>
      <c r="C986" s="132"/>
      <c r="D986" s="132"/>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85"/>
      <c r="B987" s="173"/>
      <c r="C987" s="132"/>
      <c r="D987" s="132"/>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85"/>
      <c r="B988" s="173"/>
      <c r="C988" s="132"/>
      <c r="D988" s="132"/>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85"/>
      <c r="B989" s="173"/>
      <c r="C989" s="132"/>
      <c r="D989" s="132"/>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85"/>
      <c r="B990" s="173"/>
      <c r="C990" s="132"/>
      <c r="D990" s="132"/>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85"/>
      <c r="B991" s="173"/>
      <c r="C991" s="132"/>
      <c r="D991" s="132"/>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85"/>
      <c r="B992" s="173"/>
      <c r="C992" s="132"/>
      <c r="D992" s="132"/>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85"/>
      <c r="B993" s="173"/>
      <c r="C993" s="132"/>
      <c r="D993" s="132"/>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85"/>
      <c r="B994" s="173"/>
      <c r="C994" s="132"/>
      <c r="D994" s="132"/>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85"/>
      <c r="B995" s="173"/>
      <c r="C995" s="132"/>
      <c r="D995" s="132"/>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85"/>
      <c r="B996" s="173"/>
      <c r="C996" s="132"/>
      <c r="D996" s="132"/>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85"/>
      <c r="B997" s="173"/>
      <c r="C997" s="132"/>
      <c r="D997" s="132"/>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85"/>
      <c r="B998" s="173"/>
      <c r="C998" s="132"/>
      <c r="D998" s="132"/>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85"/>
      <c r="B999" s="173"/>
      <c r="C999" s="132"/>
      <c r="D999" s="132"/>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85"/>
      <c r="B1000" s="173"/>
      <c r="C1000" s="132"/>
      <c r="D1000" s="132"/>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86"/>
      <c r="B1001" s="398" t="str">
        <f ca="1">OFFSET(L!$C$1,MATCH("General"&amp;"Cpy",L!$A:$A,0)-1,SL,,)</f>
        <v>© 2015 Conflict-Free Sourcing Initiative. All rights reserved.</v>
      </c>
      <c r="C1001" s="398"/>
      <c r="D1001" s="398"/>
      <c r="E1001" s="31"/>
    </row>
    <row r="1002" spans="1:35" ht="13.5" thickTop="1">
      <c r="D1002" s="139"/>
    </row>
  </sheetData>
  <sheetProtection password="E815" sheet="1" formatCells="0" formatColumns="0" formatRows="0" insertRows="0" deleteRows="0" sort="0" autoFilter="0"/>
  <mergeCells count="3">
    <mergeCell ref="B4:D4"/>
    <mergeCell ref="A1:D1"/>
    <mergeCell ref="B1001:D1001"/>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31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75" defaultRowHeight="14.25"/>
  <cols>
    <col min="1" max="1" width="14.625" style="211" customWidth="1"/>
    <col min="2" max="2" width="14" style="211" customWidth="1"/>
    <col min="3" max="3" width="6.25" style="211" customWidth="1"/>
    <col min="4" max="4" width="50.875" style="211" customWidth="1"/>
    <col min="5" max="11" width="40" style="212" customWidth="1"/>
    <col min="12" max="12" width="40" style="213" customWidth="1"/>
    <col min="13" max="16384" width="8.75" style="50"/>
  </cols>
  <sheetData>
    <row r="1" spans="1:12">
      <c r="B1" s="211" t="s">
        <v>2911</v>
      </c>
      <c r="C1" s="211" t="s">
        <v>1294</v>
      </c>
      <c r="D1" s="211" t="s">
        <v>1637</v>
      </c>
      <c r="E1" s="208" t="s">
        <v>2912</v>
      </c>
      <c r="F1" s="208" t="s">
        <v>2913</v>
      </c>
      <c r="G1" s="212" t="s">
        <v>1051</v>
      </c>
      <c r="H1" s="212" t="s">
        <v>1052</v>
      </c>
      <c r="I1" s="212" t="s">
        <v>1053</v>
      </c>
      <c r="J1" s="212" t="s">
        <v>1054</v>
      </c>
      <c r="K1" s="212" t="s">
        <v>1055</v>
      </c>
      <c r="L1" s="213" t="s">
        <v>1056</v>
      </c>
    </row>
    <row r="2" spans="1:12" ht="99.75">
      <c r="A2" s="211" t="str">
        <f>B2&amp;C2</f>
        <v>InstructionsA1</v>
      </c>
      <c r="B2" s="211" t="s">
        <v>1050</v>
      </c>
      <c r="C2" s="211" t="s">
        <v>1295</v>
      </c>
      <c r="D2" s="211" t="s">
        <v>847</v>
      </c>
      <c r="E2" s="208" t="s">
        <v>1118</v>
      </c>
      <c r="F2" s="208" t="s">
        <v>1527</v>
      </c>
      <c r="G2" s="212" t="s">
        <v>679</v>
      </c>
      <c r="H2" s="212" t="s">
        <v>569</v>
      </c>
      <c r="I2" s="212" t="s">
        <v>241</v>
      </c>
      <c r="J2" s="212" t="s">
        <v>2762</v>
      </c>
      <c r="K2" s="214" t="s">
        <v>779</v>
      </c>
      <c r="L2" s="213" t="s">
        <v>115</v>
      </c>
    </row>
    <row r="3" spans="1:12">
      <c r="A3" s="211" t="str">
        <f t="shared" ref="A3:A79" si="0">B3&amp;C3</f>
        <v>InstructionsA2</v>
      </c>
      <c r="B3" s="211" t="s">
        <v>1050</v>
      </c>
      <c r="C3" s="211" t="s">
        <v>1296</v>
      </c>
      <c r="D3" s="211" t="s">
        <v>1627</v>
      </c>
      <c r="E3" s="212" t="s">
        <v>1119</v>
      </c>
      <c r="F3" s="208" t="s">
        <v>2135</v>
      </c>
      <c r="G3" s="212" t="s">
        <v>2072</v>
      </c>
      <c r="H3" s="212" t="s">
        <v>1627</v>
      </c>
      <c r="I3" s="212" t="s">
        <v>2073</v>
      </c>
      <c r="J3" s="212" t="s">
        <v>2074</v>
      </c>
      <c r="K3" s="227" t="s">
        <v>780</v>
      </c>
      <c r="L3" s="213" t="s">
        <v>2508</v>
      </c>
    </row>
    <row r="4" spans="1:12" ht="327.75">
      <c r="A4" s="211" t="str">
        <f t="shared" si="0"/>
        <v>InstructionsA3</v>
      </c>
      <c r="B4" s="211" t="s">
        <v>1050</v>
      </c>
      <c r="C4" s="211" t="s">
        <v>1297</v>
      </c>
      <c r="D4" s="211" t="s">
        <v>848</v>
      </c>
      <c r="E4" s="208" t="s">
        <v>2914</v>
      </c>
      <c r="F4" s="208" t="s">
        <v>1528</v>
      </c>
      <c r="G4" s="212" t="s">
        <v>680</v>
      </c>
      <c r="H4" s="212" t="s">
        <v>570</v>
      </c>
      <c r="I4" s="212" t="s">
        <v>242</v>
      </c>
      <c r="J4" s="212" t="s">
        <v>2763</v>
      </c>
      <c r="K4" s="214" t="s">
        <v>781</v>
      </c>
      <c r="L4" s="213" t="s">
        <v>2509</v>
      </c>
    </row>
    <row r="5" spans="1:12" ht="370.5">
      <c r="A5" s="211" t="str">
        <f t="shared" si="0"/>
        <v>InstructionsA4</v>
      </c>
      <c r="B5" s="211" t="s">
        <v>1050</v>
      </c>
      <c r="C5" s="211" t="s">
        <v>1298</v>
      </c>
      <c r="D5" s="212" t="s">
        <v>1526</v>
      </c>
      <c r="E5" s="208" t="s">
        <v>2915</v>
      </c>
      <c r="F5" s="208" t="s">
        <v>1529</v>
      </c>
      <c r="G5" s="212" t="s">
        <v>681</v>
      </c>
      <c r="H5" s="208" t="s">
        <v>571</v>
      </c>
      <c r="I5" s="212" t="s">
        <v>468</v>
      </c>
      <c r="J5" s="212" t="s">
        <v>2764</v>
      </c>
      <c r="K5" s="214" t="s">
        <v>782</v>
      </c>
      <c r="L5" s="213" t="s">
        <v>179</v>
      </c>
    </row>
    <row r="6" spans="1:12" ht="71.25">
      <c r="A6" s="211" t="str">
        <f t="shared" si="0"/>
        <v>InstructionsA6</v>
      </c>
      <c r="B6" s="211" t="s">
        <v>1050</v>
      </c>
      <c r="C6" s="211" t="s">
        <v>1299</v>
      </c>
      <c r="D6" s="211" t="s">
        <v>849</v>
      </c>
      <c r="E6" s="208" t="s">
        <v>1120</v>
      </c>
      <c r="F6" s="208" t="s">
        <v>1530</v>
      </c>
      <c r="G6" s="212" t="s">
        <v>2075</v>
      </c>
      <c r="H6" s="212" t="s">
        <v>572</v>
      </c>
      <c r="I6" s="212" t="s">
        <v>469</v>
      </c>
      <c r="J6" s="212" t="s">
        <v>2703</v>
      </c>
      <c r="K6" s="214" t="s">
        <v>783</v>
      </c>
      <c r="L6" s="213" t="s">
        <v>180</v>
      </c>
    </row>
    <row r="7" spans="1:12" ht="28.5">
      <c r="A7" s="211" t="str">
        <f t="shared" si="0"/>
        <v>InstructionsA7</v>
      </c>
      <c r="B7" s="211" t="s">
        <v>1050</v>
      </c>
      <c r="C7" s="211" t="s">
        <v>1300</v>
      </c>
      <c r="D7" s="211" t="s">
        <v>1057</v>
      </c>
      <c r="E7" s="208" t="s">
        <v>1121</v>
      </c>
      <c r="F7" s="208" t="s">
        <v>1531</v>
      </c>
      <c r="G7" s="212" t="s">
        <v>2076</v>
      </c>
      <c r="H7" s="212" t="s">
        <v>1058</v>
      </c>
      <c r="I7" s="212" t="s">
        <v>470</v>
      </c>
      <c r="J7" s="212" t="s">
        <v>2597</v>
      </c>
      <c r="K7" s="214" t="s">
        <v>784</v>
      </c>
      <c r="L7" s="213" t="s">
        <v>2510</v>
      </c>
    </row>
    <row r="8" spans="1:12" ht="42.75">
      <c r="A8" s="211" t="str">
        <f t="shared" si="0"/>
        <v>InstructionsA8</v>
      </c>
      <c r="B8" s="211" t="s">
        <v>1050</v>
      </c>
      <c r="C8" s="211" t="s">
        <v>1301</v>
      </c>
      <c r="D8" s="212" t="s">
        <v>858</v>
      </c>
      <c r="E8" s="212" t="s">
        <v>1122</v>
      </c>
      <c r="F8" s="208" t="s">
        <v>1532</v>
      </c>
      <c r="G8" s="212" t="s">
        <v>2077</v>
      </c>
      <c r="H8" s="212" t="s">
        <v>573</v>
      </c>
      <c r="I8" s="212" t="s">
        <v>423</v>
      </c>
      <c r="J8" s="212" t="s">
        <v>2598</v>
      </c>
      <c r="K8" s="214" t="s">
        <v>785</v>
      </c>
      <c r="L8" s="213" t="s">
        <v>2600</v>
      </c>
    </row>
    <row r="9" spans="1:12" ht="409.5">
      <c r="A9" s="211" t="str">
        <f t="shared" si="0"/>
        <v>InstructionsA9</v>
      </c>
      <c r="B9" s="211" t="s">
        <v>1050</v>
      </c>
      <c r="C9" s="211" t="s">
        <v>2514</v>
      </c>
      <c r="D9" s="212" t="s">
        <v>4515</v>
      </c>
      <c r="E9" s="228" t="s">
        <v>3008</v>
      </c>
      <c r="F9" s="244" t="s">
        <v>4372</v>
      </c>
      <c r="G9" s="228" t="s">
        <v>4349</v>
      </c>
      <c r="H9" s="228" t="s">
        <v>3009</v>
      </c>
      <c r="I9" s="228" t="s">
        <v>3010</v>
      </c>
      <c r="J9" s="228" t="s">
        <v>2945</v>
      </c>
      <c r="K9" s="228" t="s">
        <v>3011</v>
      </c>
      <c r="L9" s="228" t="s">
        <v>3012</v>
      </c>
    </row>
    <row r="10" spans="1:12" ht="57">
      <c r="A10" s="211" t="str">
        <f t="shared" si="0"/>
        <v>InstructionsA10</v>
      </c>
      <c r="B10" s="211" t="s">
        <v>1050</v>
      </c>
      <c r="C10" s="211" t="s">
        <v>2515</v>
      </c>
      <c r="D10" s="211" t="s">
        <v>859</v>
      </c>
      <c r="E10" s="208" t="s">
        <v>1123</v>
      </c>
      <c r="F10" s="208" t="s">
        <v>543</v>
      </c>
      <c r="G10" s="212" t="s">
        <v>1581</v>
      </c>
      <c r="H10" s="212" t="s">
        <v>574</v>
      </c>
      <c r="I10" s="212" t="s">
        <v>471</v>
      </c>
      <c r="J10" s="212" t="s">
        <v>2704</v>
      </c>
      <c r="K10" s="221" t="s">
        <v>786</v>
      </c>
      <c r="L10" s="213" t="s">
        <v>2601</v>
      </c>
    </row>
    <row r="11" spans="1:12" ht="57">
      <c r="A11" s="211" t="str">
        <f>B11&amp;C11</f>
        <v>InstructionsA11</v>
      </c>
      <c r="B11" s="211" t="s">
        <v>1050</v>
      </c>
      <c r="C11" s="211" t="s">
        <v>2516</v>
      </c>
      <c r="D11" s="211" t="s">
        <v>860</v>
      </c>
      <c r="E11" s="208" t="s">
        <v>1124</v>
      </c>
      <c r="F11" s="208" t="s">
        <v>1533</v>
      </c>
      <c r="G11" s="212" t="s">
        <v>682</v>
      </c>
      <c r="H11" s="212" t="s">
        <v>880</v>
      </c>
      <c r="I11" s="212" t="s">
        <v>472</v>
      </c>
      <c r="J11" s="212" t="s">
        <v>2705</v>
      </c>
      <c r="K11" s="221" t="s">
        <v>787</v>
      </c>
      <c r="L11" s="213" t="s">
        <v>7</v>
      </c>
    </row>
    <row r="12" spans="1:12" ht="57">
      <c r="A12" s="211" t="str">
        <f t="shared" si="0"/>
        <v>InstructionsA12</v>
      </c>
      <c r="B12" s="211" t="s">
        <v>1050</v>
      </c>
      <c r="C12" s="211" t="s">
        <v>2517</v>
      </c>
      <c r="D12" s="211" t="s">
        <v>861</v>
      </c>
      <c r="E12" s="208" t="s">
        <v>1125</v>
      </c>
      <c r="F12" s="208" t="s">
        <v>1534</v>
      </c>
      <c r="G12" s="212" t="s">
        <v>683</v>
      </c>
      <c r="H12" s="212" t="s">
        <v>881</v>
      </c>
      <c r="I12" s="212" t="s">
        <v>473</v>
      </c>
      <c r="J12" s="212" t="s">
        <v>2706</v>
      </c>
      <c r="K12" s="221" t="s">
        <v>196</v>
      </c>
      <c r="L12" s="213" t="s">
        <v>8</v>
      </c>
    </row>
    <row r="13" spans="1:12" ht="85.5">
      <c r="A13" s="211" t="str">
        <f t="shared" si="0"/>
        <v>InstructionsA13</v>
      </c>
      <c r="B13" s="211" t="s">
        <v>1050</v>
      </c>
      <c r="C13" s="211" t="s">
        <v>2518</v>
      </c>
      <c r="D13" s="211" t="s">
        <v>850</v>
      </c>
      <c r="E13" s="208" t="s">
        <v>1126</v>
      </c>
      <c r="F13" s="208" t="s">
        <v>1535</v>
      </c>
      <c r="G13" s="212" t="s">
        <v>684</v>
      </c>
      <c r="H13" s="212" t="s">
        <v>882</v>
      </c>
      <c r="I13" s="212" t="s">
        <v>474</v>
      </c>
      <c r="J13" s="212" t="s">
        <v>2707</v>
      </c>
      <c r="K13" s="221" t="s">
        <v>195</v>
      </c>
      <c r="L13" s="213" t="s">
        <v>9</v>
      </c>
    </row>
    <row r="14" spans="1:12" ht="99.75">
      <c r="A14" s="211" t="str">
        <f t="shared" ref="A14:A19" si="1">B14&amp;C14</f>
        <v>InstructionsA14</v>
      </c>
      <c r="B14" s="211" t="s">
        <v>1050</v>
      </c>
      <c r="C14" s="211" t="s">
        <v>2519</v>
      </c>
      <c r="D14" s="211" t="s">
        <v>851</v>
      </c>
      <c r="E14" s="208" t="s">
        <v>1127</v>
      </c>
      <c r="F14" s="208" t="s">
        <v>544</v>
      </c>
      <c r="G14" s="212" t="s">
        <v>685</v>
      </c>
      <c r="H14" s="212" t="s">
        <v>883</v>
      </c>
      <c r="I14" s="212" t="s">
        <v>475</v>
      </c>
      <c r="J14" s="212" t="s">
        <v>2765</v>
      </c>
      <c r="K14" s="221" t="s">
        <v>194</v>
      </c>
      <c r="L14" s="213" t="s">
        <v>10</v>
      </c>
    </row>
    <row r="15" spans="1:12" ht="42.75">
      <c r="A15" s="211" t="str">
        <f t="shared" si="1"/>
        <v>InstructionsA15</v>
      </c>
      <c r="B15" s="211" t="s">
        <v>1050</v>
      </c>
      <c r="C15" s="211" t="s">
        <v>853</v>
      </c>
      <c r="D15" s="211" t="s">
        <v>852</v>
      </c>
      <c r="E15" s="208" t="s">
        <v>1128</v>
      </c>
      <c r="F15" s="208" t="s">
        <v>1536</v>
      </c>
      <c r="G15" s="212" t="s">
        <v>686</v>
      </c>
      <c r="H15" s="212" t="s">
        <v>884</v>
      </c>
      <c r="I15" s="212" t="s">
        <v>476</v>
      </c>
      <c r="J15" s="212" t="s">
        <v>2708</v>
      </c>
      <c r="K15" s="221" t="s">
        <v>193</v>
      </c>
      <c r="L15" s="213" t="s">
        <v>11</v>
      </c>
    </row>
    <row r="16" spans="1:12" ht="128.25">
      <c r="A16" s="211" t="str">
        <f t="shared" si="1"/>
        <v>InstructionsA16</v>
      </c>
      <c r="B16" s="211" t="s">
        <v>1050</v>
      </c>
      <c r="C16" s="211" t="s">
        <v>2520</v>
      </c>
      <c r="D16" s="211" t="s">
        <v>862</v>
      </c>
      <c r="E16" s="208" t="s">
        <v>1129</v>
      </c>
      <c r="F16" s="208" t="s">
        <v>545</v>
      </c>
      <c r="G16" s="212" t="s">
        <v>687</v>
      </c>
      <c r="H16" s="212" t="s">
        <v>885</v>
      </c>
      <c r="I16" s="212" t="s">
        <v>477</v>
      </c>
      <c r="J16" s="212" t="s">
        <v>2709</v>
      </c>
      <c r="K16" s="222" t="s">
        <v>788</v>
      </c>
      <c r="L16" s="213" t="s">
        <v>12</v>
      </c>
    </row>
    <row r="17" spans="1:12" ht="42.75">
      <c r="A17" s="211" t="str">
        <f t="shared" si="1"/>
        <v>InstructionsA17</v>
      </c>
      <c r="B17" s="211" t="s">
        <v>1050</v>
      </c>
      <c r="C17" s="211" t="s">
        <v>2521</v>
      </c>
      <c r="D17" s="211" t="s">
        <v>854</v>
      </c>
      <c r="E17" s="208" t="s">
        <v>1130</v>
      </c>
      <c r="F17" s="208" t="s">
        <v>1537</v>
      </c>
      <c r="G17" s="212" t="s">
        <v>688</v>
      </c>
      <c r="H17" s="212" t="s">
        <v>886</v>
      </c>
      <c r="I17" s="212" t="s">
        <v>478</v>
      </c>
      <c r="J17" s="212" t="s">
        <v>2710</v>
      </c>
      <c r="K17" s="222" t="s">
        <v>789</v>
      </c>
      <c r="L17" s="213" t="s">
        <v>13</v>
      </c>
    </row>
    <row r="18" spans="1:12" ht="99.75">
      <c r="A18" s="211" t="str">
        <f t="shared" si="1"/>
        <v>InstructionsA18</v>
      </c>
      <c r="B18" s="211" t="s">
        <v>1050</v>
      </c>
      <c r="C18" s="211" t="s">
        <v>2522</v>
      </c>
      <c r="D18" s="211" t="s">
        <v>4478</v>
      </c>
      <c r="E18" s="208" t="s">
        <v>4480</v>
      </c>
      <c r="F18" s="208" t="s">
        <v>4481</v>
      </c>
      <c r="G18" s="212" t="s">
        <v>4482</v>
      </c>
      <c r="H18" s="212" t="s">
        <v>4483</v>
      </c>
      <c r="I18" s="212" t="s">
        <v>4484</v>
      </c>
      <c r="J18" s="212" t="s">
        <v>4485</v>
      </c>
      <c r="K18" s="222" t="s">
        <v>4486</v>
      </c>
      <c r="L18" s="213" t="s">
        <v>4487</v>
      </c>
    </row>
    <row r="19" spans="1:12" ht="42.75">
      <c r="A19" s="211" t="str">
        <f t="shared" si="1"/>
        <v>InstructionsA19</v>
      </c>
      <c r="B19" s="211" t="s">
        <v>1050</v>
      </c>
      <c r="C19" s="211" t="s">
        <v>2523</v>
      </c>
      <c r="D19" s="211" t="s">
        <v>4479</v>
      </c>
      <c r="E19" s="208" t="s">
        <v>4495</v>
      </c>
      <c r="F19" s="208" t="s">
        <v>4494</v>
      </c>
      <c r="G19" s="212" t="s">
        <v>4493</v>
      </c>
      <c r="H19" s="212" t="s">
        <v>4492</v>
      </c>
      <c r="I19" s="212" t="s">
        <v>4491</v>
      </c>
      <c r="J19" s="212" t="s">
        <v>4490</v>
      </c>
      <c r="K19" s="222" t="s">
        <v>4489</v>
      </c>
      <c r="L19" s="213" t="s">
        <v>4488</v>
      </c>
    </row>
    <row r="20" spans="1:12" ht="57">
      <c r="A20" s="211" t="str">
        <f t="shared" si="0"/>
        <v>InstructionsA20</v>
      </c>
      <c r="B20" s="211" t="s">
        <v>1050</v>
      </c>
      <c r="C20" s="211" t="s">
        <v>2524</v>
      </c>
      <c r="D20" s="211" t="s">
        <v>863</v>
      </c>
      <c r="E20" s="208" t="s">
        <v>1131</v>
      </c>
      <c r="F20" s="208" t="s">
        <v>1538</v>
      </c>
      <c r="G20" s="212" t="s">
        <v>689</v>
      </c>
      <c r="H20" s="212" t="s">
        <v>887</v>
      </c>
      <c r="I20" s="212" t="s">
        <v>479</v>
      </c>
      <c r="J20" s="212" t="s">
        <v>2711</v>
      </c>
      <c r="K20" s="222" t="s">
        <v>790</v>
      </c>
      <c r="L20" s="213" t="s">
        <v>14</v>
      </c>
    </row>
    <row r="21" spans="1:12" ht="57">
      <c r="A21" s="211" t="str">
        <f t="shared" si="0"/>
        <v>InstructionsA21</v>
      </c>
      <c r="B21" s="211" t="s">
        <v>1050</v>
      </c>
      <c r="C21" s="211" t="s">
        <v>2525</v>
      </c>
      <c r="D21" s="211" t="s">
        <v>864</v>
      </c>
      <c r="E21" s="208" t="s">
        <v>1132</v>
      </c>
      <c r="F21" s="208" t="s">
        <v>1539</v>
      </c>
      <c r="G21" s="212" t="s">
        <v>690</v>
      </c>
      <c r="H21" s="212" t="s">
        <v>888</v>
      </c>
      <c r="I21" s="212" t="s">
        <v>480</v>
      </c>
      <c r="J21" s="212" t="s">
        <v>2712</v>
      </c>
      <c r="K21" s="222" t="s">
        <v>791</v>
      </c>
      <c r="L21" s="213" t="s">
        <v>15</v>
      </c>
    </row>
    <row r="22" spans="1:12" ht="54.75" customHeight="1">
      <c r="A22" s="211" t="str">
        <f t="shared" si="0"/>
        <v>InstructionsA23</v>
      </c>
      <c r="B22" s="211" t="s">
        <v>1050</v>
      </c>
      <c r="C22" s="211" t="s">
        <v>2526</v>
      </c>
      <c r="D22" s="211" t="s">
        <v>855</v>
      </c>
      <c r="E22" s="208" t="s">
        <v>516</v>
      </c>
      <c r="F22" s="208" t="s">
        <v>1540</v>
      </c>
      <c r="G22" s="212" t="s">
        <v>691</v>
      </c>
      <c r="H22" s="212" t="s">
        <v>889</v>
      </c>
      <c r="I22" s="212" t="s">
        <v>481</v>
      </c>
      <c r="J22" s="212" t="s">
        <v>2713</v>
      </c>
      <c r="K22" s="222" t="s">
        <v>792</v>
      </c>
      <c r="L22" s="213" t="s">
        <v>16</v>
      </c>
    </row>
    <row r="23" spans="1:12" ht="178.5">
      <c r="A23" s="211" t="str">
        <f t="shared" si="0"/>
        <v>InstructionsA24</v>
      </c>
      <c r="B23" s="211" t="s">
        <v>1050</v>
      </c>
      <c r="C23" s="211" t="s">
        <v>2527</v>
      </c>
      <c r="D23" s="228" t="s">
        <v>2946</v>
      </c>
      <c r="E23" s="228" t="s">
        <v>2947</v>
      </c>
      <c r="F23" s="244" t="s">
        <v>2948</v>
      </c>
      <c r="G23" s="228" t="s">
        <v>3013</v>
      </c>
      <c r="H23" s="228" t="s">
        <v>3014</v>
      </c>
      <c r="I23" s="228" t="s">
        <v>3015</v>
      </c>
      <c r="J23" s="228" t="s">
        <v>3016</v>
      </c>
      <c r="K23" s="228" t="s">
        <v>3017</v>
      </c>
      <c r="L23" s="228" t="s">
        <v>3018</v>
      </c>
    </row>
    <row r="24" spans="1:12" ht="165.75">
      <c r="A24" s="211" t="str">
        <f t="shared" si="0"/>
        <v>InstructionsA25</v>
      </c>
      <c r="B24" s="211" t="s">
        <v>1050</v>
      </c>
      <c r="C24" s="211" t="s">
        <v>2528</v>
      </c>
      <c r="D24" s="228" t="s">
        <v>2953</v>
      </c>
      <c r="E24" s="228" t="s">
        <v>2954</v>
      </c>
      <c r="F24" s="244" t="s">
        <v>2955</v>
      </c>
      <c r="G24" s="228" t="s">
        <v>3019</v>
      </c>
      <c r="H24" s="228" t="s">
        <v>3020</v>
      </c>
      <c r="I24" s="228" t="s">
        <v>3021</v>
      </c>
      <c r="J24" s="228" t="s">
        <v>3022</v>
      </c>
      <c r="K24" s="228" t="s">
        <v>3023</v>
      </c>
      <c r="L24" s="228" t="s">
        <v>3024</v>
      </c>
    </row>
    <row r="25" spans="1:12" ht="306">
      <c r="A25" s="211" t="str">
        <f t="shared" si="0"/>
        <v>InstructionsA26</v>
      </c>
      <c r="B25" s="211" t="s">
        <v>1050</v>
      </c>
      <c r="C25" s="211" t="s">
        <v>2529</v>
      </c>
      <c r="D25" s="228" t="s">
        <v>2956</v>
      </c>
      <c r="E25" s="228" t="s">
        <v>2957</v>
      </c>
      <c r="F25" s="244" t="s">
        <v>2958</v>
      </c>
      <c r="G25" s="228" t="s">
        <v>3025</v>
      </c>
      <c r="H25" s="228" t="s">
        <v>3026</v>
      </c>
      <c r="I25" s="228" t="s">
        <v>3027</v>
      </c>
      <c r="J25" s="228" t="s">
        <v>2959</v>
      </c>
      <c r="K25" s="228" t="s">
        <v>3028</v>
      </c>
      <c r="L25" s="228" t="s">
        <v>3029</v>
      </c>
    </row>
    <row r="26" spans="1:12" ht="57">
      <c r="A26" s="211" t="str">
        <f t="shared" si="0"/>
        <v>InstructionsA27</v>
      </c>
      <c r="B26" s="211" t="s">
        <v>1050</v>
      </c>
      <c r="C26" s="211" t="s">
        <v>856</v>
      </c>
      <c r="D26" s="211" t="s">
        <v>857</v>
      </c>
      <c r="E26" s="208" t="s">
        <v>1133</v>
      </c>
      <c r="F26" s="208" t="s">
        <v>1541</v>
      </c>
      <c r="G26" s="212" t="s">
        <v>692</v>
      </c>
      <c r="H26" s="212" t="s">
        <v>890</v>
      </c>
      <c r="I26" s="212" t="s">
        <v>482</v>
      </c>
      <c r="J26" s="212" t="s">
        <v>2714</v>
      </c>
      <c r="K26" s="222" t="s">
        <v>793</v>
      </c>
      <c r="L26" s="213" t="s">
        <v>17</v>
      </c>
    </row>
    <row r="27" spans="1:12" ht="409.5">
      <c r="A27" s="211" t="str">
        <f t="shared" si="0"/>
        <v>InstructionsA28</v>
      </c>
      <c r="B27" s="211" t="s">
        <v>1050</v>
      </c>
      <c r="C27" s="211" t="s">
        <v>1996</v>
      </c>
      <c r="D27" s="228" t="s">
        <v>2960</v>
      </c>
      <c r="E27" s="228" t="s">
        <v>2961</v>
      </c>
      <c r="F27" s="244" t="s">
        <v>2962</v>
      </c>
      <c r="G27" s="228" t="s">
        <v>3030</v>
      </c>
      <c r="H27" s="228" t="s">
        <v>3031</v>
      </c>
      <c r="I27" s="228" t="s">
        <v>3032</v>
      </c>
      <c r="J27" s="228" t="s">
        <v>3033</v>
      </c>
      <c r="K27" s="228" t="s">
        <v>3034</v>
      </c>
      <c r="L27" s="228" t="s">
        <v>3035</v>
      </c>
    </row>
    <row r="28" spans="1:12" ht="165.75">
      <c r="A28" s="211" t="str">
        <f>B28&amp;C28</f>
        <v>InstructionsA29</v>
      </c>
      <c r="B28" s="211" t="s">
        <v>1050</v>
      </c>
      <c r="C28" s="211" t="s">
        <v>2530</v>
      </c>
      <c r="D28" s="228" t="s">
        <v>2963</v>
      </c>
      <c r="E28" s="228" t="s">
        <v>2964</v>
      </c>
      <c r="F28" s="244" t="s">
        <v>2965</v>
      </c>
      <c r="G28" s="228" t="s">
        <v>3036</v>
      </c>
      <c r="H28" s="228" t="s">
        <v>3037</v>
      </c>
      <c r="I28" s="228" t="s">
        <v>3038</v>
      </c>
      <c r="J28" s="228" t="s">
        <v>3039</v>
      </c>
      <c r="K28" s="228" t="s">
        <v>3040</v>
      </c>
      <c r="L28" s="228" t="s">
        <v>3041</v>
      </c>
    </row>
    <row r="29" spans="1:12" ht="267.75">
      <c r="A29" s="211" t="str">
        <f t="shared" si="0"/>
        <v>InstructionsA30</v>
      </c>
      <c r="B29" s="211" t="s">
        <v>1050</v>
      </c>
      <c r="C29" s="211" t="s">
        <v>2531</v>
      </c>
      <c r="D29" s="228" t="s">
        <v>2966</v>
      </c>
      <c r="E29" s="228" t="s">
        <v>2967</v>
      </c>
      <c r="F29" s="244" t="s">
        <v>2968</v>
      </c>
      <c r="G29" s="228" t="s">
        <v>3042</v>
      </c>
      <c r="H29" s="228" t="s">
        <v>3043</v>
      </c>
      <c r="I29" s="228" t="s">
        <v>3044</v>
      </c>
      <c r="J29" s="228" t="s">
        <v>2969</v>
      </c>
      <c r="K29" s="228" t="s">
        <v>3045</v>
      </c>
      <c r="L29" s="228" t="s">
        <v>3046</v>
      </c>
    </row>
    <row r="30" spans="1:12" ht="242.25">
      <c r="A30" s="211" t="str">
        <f t="shared" si="0"/>
        <v>InstructionsA31</v>
      </c>
      <c r="B30" s="211" t="s">
        <v>1050</v>
      </c>
      <c r="C30" s="211" t="s">
        <v>2532</v>
      </c>
      <c r="D30" s="228" t="s">
        <v>2970</v>
      </c>
      <c r="E30" s="228" t="s">
        <v>2971</v>
      </c>
      <c r="F30" s="244" t="s">
        <v>2972</v>
      </c>
      <c r="G30" s="228" t="s">
        <v>3047</v>
      </c>
      <c r="H30" s="228" t="s">
        <v>3048</v>
      </c>
      <c r="I30" s="228" t="s">
        <v>3049</v>
      </c>
      <c r="J30" s="228" t="s">
        <v>2973</v>
      </c>
      <c r="K30" s="228" t="s">
        <v>3050</v>
      </c>
      <c r="L30" s="228" t="s">
        <v>3051</v>
      </c>
    </row>
    <row r="31" spans="1:12" ht="153">
      <c r="A31" s="211" t="str">
        <f t="shared" si="0"/>
        <v>InstructionsA32</v>
      </c>
      <c r="B31" s="211" t="s">
        <v>1050</v>
      </c>
      <c r="C31" s="211" t="s">
        <v>2533</v>
      </c>
      <c r="D31" s="228" t="s">
        <v>2974</v>
      </c>
      <c r="E31" s="228" t="s">
        <v>2975</v>
      </c>
      <c r="F31" s="244" t="s">
        <v>2976</v>
      </c>
      <c r="G31" s="228" t="s">
        <v>3052</v>
      </c>
      <c r="H31" s="228" t="s">
        <v>3053</v>
      </c>
      <c r="I31" s="228" t="s">
        <v>3054</v>
      </c>
      <c r="J31" s="228" t="s">
        <v>3055</v>
      </c>
      <c r="K31" s="228" t="s">
        <v>3056</v>
      </c>
      <c r="L31" s="228" t="s">
        <v>3057</v>
      </c>
    </row>
    <row r="32" spans="1:12" s="261" customFormat="1" ht="140.25">
      <c r="A32" s="212" t="str">
        <f t="shared" si="0"/>
        <v>InstructionsA33</v>
      </c>
      <c r="B32" s="212" t="s">
        <v>1050</v>
      </c>
      <c r="C32" s="212" t="s">
        <v>2534</v>
      </c>
      <c r="D32" s="295" t="s">
        <v>2977</v>
      </c>
      <c r="E32" s="295" t="s">
        <v>2978</v>
      </c>
      <c r="F32" s="296" t="s">
        <v>4373</v>
      </c>
      <c r="G32" s="295" t="s">
        <v>3058</v>
      </c>
      <c r="H32" s="295" t="s">
        <v>3059</v>
      </c>
      <c r="I32" s="295" t="s">
        <v>3060</v>
      </c>
      <c r="J32" s="295" t="s">
        <v>3061</v>
      </c>
      <c r="K32" s="295" t="s">
        <v>3062</v>
      </c>
      <c r="L32" s="295" t="s">
        <v>3063</v>
      </c>
    </row>
    <row r="33" spans="1:12" ht="42.75">
      <c r="A33" s="211" t="str">
        <f t="shared" si="0"/>
        <v>InstructionsA34</v>
      </c>
      <c r="B33" s="211" t="s">
        <v>1050</v>
      </c>
      <c r="C33" s="211" t="s">
        <v>2535</v>
      </c>
      <c r="D33" s="211" t="s">
        <v>2059</v>
      </c>
      <c r="E33" s="212" t="s">
        <v>1942</v>
      </c>
      <c r="F33" s="208" t="s">
        <v>1943</v>
      </c>
      <c r="G33" s="212" t="s">
        <v>1944</v>
      </c>
      <c r="H33" s="212" t="s">
        <v>1945</v>
      </c>
      <c r="I33" s="212" t="s">
        <v>483</v>
      </c>
      <c r="J33" s="212" t="s">
        <v>2078</v>
      </c>
      <c r="K33" s="209" t="s">
        <v>794</v>
      </c>
      <c r="L33" s="213" t="s">
        <v>2602</v>
      </c>
    </row>
    <row r="34" spans="1:12" ht="99.75">
      <c r="A34" s="211" t="str">
        <f t="shared" si="0"/>
        <v>InstructionsA36</v>
      </c>
      <c r="B34" s="211" t="s">
        <v>1050</v>
      </c>
      <c r="C34" s="211" t="s">
        <v>2536</v>
      </c>
      <c r="D34" s="211" t="s">
        <v>865</v>
      </c>
      <c r="E34" s="208" t="s">
        <v>1134</v>
      </c>
      <c r="F34" s="208" t="s">
        <v>1542</v>
      </c>
      <c r="G34" s="212" t="s">
        <v>693</v>
      </c>
      <c r="H34" s="215" t="s">
        <v>891</v>
      </c>
      <c r="I34" s="212" t="s">
        <v>484</v>
      </c>
      <c r="J34" s="212" t="s">
        <v>2715</v>
      </c>
      <c r="K34" s="222" t="s">
        <v>795</v>
      </c>
      <c r="L34" s="213" t="s">
        <v>18</v>
      </c>
    </row>
    <row r="35" spans="1:12" ht="370.5">
      <c r="A35" s="211" t="str">
        <f t="shared" si="0"/>
        <v>InstructionsA37</v>
      </c>
      <c r="B35" s="211" t="s">
        <v>1050</v>
      </c>
      <c r="C35" s="211" t="s">
        <v>2537</v>
      </c>
      <c r="D35" s="211" t="s">
        <v>2041</v>
      </c>
      <c r="E35" s="208" t="s">
        <v>1135</v>
      </c>
      <c r="F35" s="208" t="s">
        <v>1543</v>
      </c>
      <c r="G35" s="212" t="s">
        <v>694</v>
      </c>
      <c r="H35" s="212" t="s">
        <v>2489</v>
      </c>
      <c r="I35" s="212" t="s">
        <v>485</v>
      </c>
      <c r="J35" s="212" t="s">
        <v>2079</v>
      </c>
      <c r="K35" s="223" t="s">
        <v>500</v>
      </c>
      <c r="L35" s="213" t="s">
        <v>2603</v>
      </c>
    </row>
    <row r="36" spans="1:12" ht="42.75">
      <c r="A36" s="211" t="str">
        <f t="shared" si="0"/>
        <v>InstructionsA38</v>
      </c>
      <c r="B36" s="211" t="s">
        <v>1050</v>
      </c>
      <c r="C36" s="211" t="s">
        <v>2538</v>
      </c>
      <c r="D36" s="211" t="s">
        <v>874</v>
      </c>
      <c r="E36" s="208" t="s">
        <v>1136</v>
      </c>
      <c r="F36" s="208" t="s">
        <v>1544</v>
      </c>
      <c r="G36" s="212" t="s">
        <v>695</v>
      </c>
      <c r="H36" s="212" t="s">
        <v>2490</v>
      </c>
      <c r="I36" s="212" t="s">
        <v>486</v>
      </c>
      <c r="J36" s="212" t="s">
        <v>2080</v>
      </c>
      <c r="K36" s="214" t="s">
        <v>501</v>
      </c>
      <c r="L36" s="213" t="s">
        <v>2604</v>
      </c>
    </row>
    <row r="37" spans="1:12" ht="42.75">
      <c r="A37" s="211" t="str">
        <f t="shared" si="0"/>
        <v>InstructionsA39</v>
      </c>
      <c r="B37" s="211" t="s">
        <v>1050</v>
      </c>
      <c r="C37" s="211" t="s">
        <v>2539</v>
      </c>
      <c r="D37" s="211" t="s">
        <v>873</v>
      </c>
      <c r="E37" s="208" t="s">
        <v>1137</v>
      </c>
      <c r="F37" s="208" t="s">
        <v>546</v>
      </c>
      <c r="G37" s="212" t="s">
        <v>2491</v>
      </c>
      <c r="H37" s="212" t="s">
        <v>1582</v>
      </c>
      <c r="I37" s="212" t="s">
        <v>487</v>
      </c>
      <c r="J37" s="212" t="s">
        <v>2081</v>
      </c>
      <c r="K37" s="214" t="s">
        <v>502</v>
      </c>
      <c r="L37" s="213" t="s">
        <v>2605</v>
      </c>
    </row>
    <row r="38" spans="1:12" ht="77.25" customHeight="1">
      <c r="A38" s="211" t="str">
        <f t="shared" si="0"/>
        <v>InstructionsA40</v>
      </c>
      <c r="B38" s="211" t="s">
        <v>1050</v>
      </c>
      <c r="C38" s="211" t="s">
        <v>866</v>
      </c>
      <c r="D38" s="211" t="s">
        <v>872</v>
      </c>
      <c r="E38" s="208" t="s">
        <v>1138</v>
      </c>
      <c r="F38" s="208" t="s">
        <v>547</v>
      </c>
      <c r="G38" s="212" t="s">
        <v>696</v>
      </c>
      <c r="H38" s="212" t="s">
        <v>892</v>
      </c>
      <c r="I38" s="212" t="s">
        <v>488</v>
      </c>
      <c r="J38" s="212" t="s">
        <v>2716</v>
      </c>
      <c r="K38" s="222" t="s">
        <v>503</v>
      </c>
      <c r="L38" s="213" t="s">
        <v>1225</v>
      </c>
    </row>
    <row r="39" spans="1:12" ht="102">
      <c r="A39" s="211" t="str">
        <f t="shared" si="0"/>
        <v>InstructionsA41</v>
      </c>
      <c r="B39" s="211" t="s">
        <v>1050</v>
      </c>
      <c r="C39" s="211" t="s">
        <v>1997</v>
      </c>
      <c r="D39" s="295" t="s">
        <v>4514</v>
      </c>
      <c r="E39" s="228" t="s">
        <v>2979</v>
      </c>
      <c r="F39" s="244" t="s">
        <v>4379</v>
      </c>
      <c r="G39" s="228" t="s">
        <v>4350</v>
      </c>
      <c r="H39" s="228" t="s">
        <v>3064</v>
      </c>
      <c r="I39" s="228" t="s">
        <v>3065</v>
      </c>
      <c r="J39" s="228" t="s">
        <v>3066</v>
      </c>
      <c r="K39" s="228" t="s">
        <v>3067</v>
      </c>
      <c r="L39" s="228" t="s">
        <v>3068</v>
      </c>
    </row>
    <row r="40" spans="1:12" ht="409.5">
      <c r="A40" s="211" t="str">
        <f t="shared" si="0"/>
        <v>InstructionsA42</v>
      </c>
      <c r="B40" s="211" t="s">
        <v>1050</v>
      </c>
      <c r="C40" s="211" t="s">
        <v>2540</v>
      </c>
      <c r="D40" s="211" t="s">
        <v>871</v>
      </c>
      <c r="E40" s="208" t="s">
        <v>2916</v>
      </c>
      <c r="F40" s="208" t="s">
        <v>548</v>
      </c>
      <c r="G40" s="212" t="s">
        <v>4351</v>
      </c>
      <c r="H40" s="215" t="s">
        <v>893</v>
      </c>
      <c r="I40" s="212" t="s">
        <v>489</v>
      </c>
      <c r="J40" s="212" t="s">
        <v>2717</v>
      </c>
      <c r="K40" s="223" t="s">
        <v>300</v>
      </c>
      <c r="L40" s="213" t="s">
        <v>1226</v>
      </c>
    </row>
    <row r="41" spans="1:12" ht="114.75">
      <c r="A41" s="211" t="str">
        <f t="shared" si="0"/>
        <v>InstructionsA43</v>
      </c>
      <c r="B41" s="211" t="s">
        <v>1050</v>
      </c>
      <c r="C41" s="211" t="s">
        <v>2541</v>
      </c>
      <c r="D41" s="228" t="s">
        <v>2980</v>
      </c>
      <c r="E41" s="228" t="s">
        <v>2981</v>
      </c>
      <c r="F41" s="244" t="s">
        <v>2982</v>
      </c>
      <c r="G41" s="228" t="s">
        <v>3069</v>
      </c>
      <c r="H41" s="228" t="s">
        <v>3070</v>
      </c>
      <c r="I41" s="228" t="s">
        <v>3071</v>
      </c>
      <c r="J41" s="228" t="s">
        <v>2983</v>
      </c>
      <c r="K41" s="228" t="s">
        <v>3072</v>
      </c>
      <c r="L41" s="228" t="s">
        <v>3073</v>
      </c>
    </row>
    <row r="42" spans="1:12" ht="42.75">
      <c r="A42" s="211" t="str">
        <f t="shared" si="0"/>
        <v>InstructionsA44</v>
      </c>
      <c r="B42" s="211" t="s">
        <v>1050</v>
      </c>
      <c r="C42" s="211" t="s">
        <v>2542</v>
      </c>
      <c r="D42" s="211" t="s">
        <v>870</v>
      </c>
      <c r="E42" s="208" t="s">
        <v>1139</v>
      </c>
      <c r="F42" s="208" t="s">
        <v>1545</v>
      </c>
      <c r="G42" s="212" t="s">
        <v>1583</v>
      </c>
      <c r="H42" s="212" t="s">
        <v>1584</v>
      </c>
      <c r="I42" s="212" t="s">
        <v>490</v>
      </c>
      <c r="J42" s="212" t="s">
        <v>2511</v>
      </c>
      <c r="K42" s="209" t="s">
        <v>301</v>
      </c>
      <c r="L42" s="213" t="s">
        <v>1227</v>
      </c>
    </row>
    <row r="43" spans="1:12" ht="256.5">
      <c r="A43" s="211" t="str">
        <f t="shared" si="0"/>
        <v>InstructionsA45</v>
      </c>
      <c r="B43" s="211" t="s">
        <v>1050</v>
      </c>
      <c r="C43" s="211" t="s">
        <v>2543</v>
      </c>
      <c r="D43" s="211" t="s">
        <v>869</v>
      </c>
      <c r="E43" s="208" t="s">
        <v>2917</v>
      </c>
      <c r="F43" s="208" t="s">
        <v>549</v>
      </c>
      <c r="G43" s="212" t="s">
        <v>697</v>
      </c>
      <c r="H43" s="212" t="s">
        <v>769</v>
      </c>
      <c r="I43" s="212" t="s">
        <v>491</v>
      </c>
      <c r="J43" s="212" t="s">
        <v>2718</v>
      </c>
      <c r="K43" s="224" t="s">
        <v>302</v>
      </c>
      <c r="L43" s="213" t="s">
        <v>1228</v>
      </c>
    </row>
    <row r="44" spans="1:12" ht="57">
      <c r="A44" s="211" t="str">
        <f t="shared" si="0"/>
        <v>InstructionsA46</v>
      </c>
      <c r="B44" s="211" t="s">
        <v>1050</v>
      </c>
      <c r="C44" s="211" t="s">
        <v>2544</v>
      </c>
      <c r="D44" s="211" t="s">
        <v>868</v>
      </c>
      <c r="E44" s="208" t="s">
        <v>1140</v>
      </c>
      <c r="F44" s="208" t="s">
        <v>1546</v>
      </c>
      <c r="G44" s="212" t="s">
        <v>1585</v>
      </c>
      <c r="H44" s="212" t="s">
        <v>894</v>
      </c>
      <c r="I44" s="212" t="s">
        <v>492</v>
      </c>
      <c r="J44" s="212" t="s">
        <v>2719</v>
      </c>
      <c r="K44" s="214" t="s">
        <v>303</v>
      </c>
      <c r="L44" s="213" t="s">
        <v>1229</v>
      </c>
    </row>
    <row r="45" spans="1:12" ht="99.75">
      <c r="A45" s="211" t="str">
        <f t="shared" si="0"/>
        <v>InstructionsA47</v>
      </c>
      <c r="B45" s="211" t="s">
        <v>1050</v>
      </c>
      <c r="C45" s="211" t="s">
        <v>2545</v>
      </c>
      <c r="D45" s="211" t="s">
        <v>867</v>
      </c>
      <c r="E45" s="208" t="s">
        <v>1141</v>
      </c>
      <c r="F45" s="208" t="s">
        <v>1547</v>
      </c>
      <c r="G45" s="212" t="s">
        <v>1287</v>
      </c>
      <c r="H45" s="212" t="s">
        <v>895</v>
      </c>
      <c r="I45" s="212" t="s">
        <v>493</v>
      </c>
      <c r="J45" s="212" t="s">
        <v>2512</v>
      </c>
      <c r="K45" s="223" t="s">
        <v>304</v>
      </c>
      <c r="L45" s="213" t="s">
        <v>1230</v>
      </c>
    </row>
    <row r="46" spans="1:12" ht="57">
      <c r="A46" s="211" t="str">
        <f t="shared" si="0"/>
        <v>InstructionsA49</v>
      </c>
      <c r="B46" s="211" t="s">
        <v>1050</v>
      </c>
      <c r="C46" s="211" t="s">
        <v>2546</v>
      </c>
      <c r="D46" s="211" t="s">
        <v>2042</v>
      </c>
      <c r="E46" s="208" t="s">
        <v>1142</v>
      </c>
      <c r="F46" s="208" t="s">
        <v>1548</v>
      </c>
      <c r="G46" s="212" t="s">
        <v>2499</v>
      </c>
      <c r="H46" s="212" t="s">
        <v>896</v>
      </c>
      <c r="I46" s="212" t="s">
        <v>494</v>
      </c>
      <c r="J46" s="212" t="s">
        <v>2720</v>
      </c>
      <c r="K46" s="214" t="s">
        <v>305</v>
      </c>
      <c r="L46" s="213" t="s">
        <v>1231</v>
      </c>
    </row>
    <row r="47" spans="1:12" ht="42.75">
      <c r="A47" s="211" t="str">
        <f t="shared" si="0"/>
        <v>InstructionsA50</v>
      </c>
      <c r="B47" s="211" t="s">
        <v>1050</v>
      </c>
      <c r="C47" s="211" t="s">
        <v>2547</v>
      </c>
      <c r="D47" s="211" t="s">
        <v>1628</v>
      </c>
      <c r="E47" s="208" t="s">
        <v>1143</v>
      </c>
      <c r="F47" s="208" t="s">
        <v>1549</v>
      </c>
      <c r="G47" s="212" t="s">
        <v>2500</v>
      </c>
      <c r="H47" s="212" t="s">
        <v>897</v>
      </c>
      <c r="I47" s="212" t="s">
        <v>495</v>
      </c>
      <c r="J47" s="212" t="s">
        <v>2513</v>
      </c>
      <c r="K47" s="214" t="s">
        <v>306</v>
      </c>
      <c r="L47" s="213" t="s">
        <v>1232</v>
      </c>
    </row>
    <row r="48" spans="1:12" ht="128.25">
      <c r="A48" s="211" t="str">
        <f t="shared" si="0"/>
        <v>InstructionsA51</v>
      </c>
      <c r="B48" s="211" t="s">
        <v>1050</v>
      </c>
      <c r="C48" s="211" t="s">
        <v>2548</v>
      </c>
      <c r="D48" s="211" t="s">
        <v>2481</v>
      </c>
      <c r="E48" s="208" t="s">
        <v>1144</v>
      </c>
      <c r="F48" s="208" t="s">
        <v>1550</v>
      </c>
      <c r="G48" s="212" t="s">
        <v>1292</v>
      </c>
      <c r="H48" s="212" t="s">
        <v>898</v>
      </c>
      <c r="I48" s="212" t="s">
        <v>496</v>
      </c>
      <c r="J48" s="212" t="s">
        <v>2721</v>
      </c>
      <c r="K48" s="214" t="s">
        <v>307</v>
      </c>
      <c r="L48" s="213" t="s">
        <v>1269</v>
      </c>
    </row>
    <row r="49" spans="1:12" ht="71.25">
      <c r="A49" s="211" t="str">
        <f t="shared" si="0"/>
        <v>InstructionsA52</v>
      </c>
      <c r="B49" s="211" t="s">
        <v>1050</v>
      </c>
      <c r="C49" s="211" t="s">
        <v>2549</v>
      </c>
      <c r="D49" s="211" t="s">
        <v>875</v>
      </c>
      <c r="E49" s="208" t="s">
        <v>2918</v>
      </c>
      <c r="F49" s="208" t="s">
        <v>1551</v>
      </c>
      <c r="G49" s="212" t="s">
        <v>698</v>
      </c>
      <c r="H49" s="212" t="s">
        <v>899</v>
      </c>
      <c r="I49" s="212" t="s">
        <v>497</v>
      </c>
      <c r="J49" s="212" t="s">
        <v>2766</v>
      </c>
      <c r="K49" s="222" t="s">
        <v>2949</v>
      </c>
      <c r="L49" s="213" t="s">
        <v>19</v>
      </c>
    </row>
    <row r="50" spans="1:12" s="261" customFormat="1" ht="128.25">
      <c r="A50" s="212" t="str">
        <f t="shared" si="0"/>
        <v>InstructionsA53</v>
      </c>
      <c r="B50" s="212" t="s">
        <v>1050</v>
      </c>
      <c r="C50" s="212" t="s">
        <v>2550</v>
      </c>
      <c r="D50" s="212" t="s">
        <v>4352</v>
      </c>
      <c r="E50" s="208" t="s">
        <v>4353</v>
      </c>
      <c r="F50" s="208" t="s">
        <v>4354</v>
      </c>
      <c r="G50" s="212" t="s">
        <v>4355</v>
      </c>
      <c r="H50" s="212" t="s">
        <v>4356</v>
      </c>
      <c r="I50" s="212" t="s">
        <v>4357</v>
      </c>
      <c r="J50" s="212" t="s">
        <v>4358</v>
      </c>
      <c r="K50" s="222" t="s">
        <v>4359</v>
      </c>
      <c r="L50" s="213" t="s">
        <v>20</v>
      </c>
    </row>
    <row r="51" spans="1:12" ht="114">
      <c r="A51" s="211" t="str">
        <f t="shared" si="0"/>
        <v>InstructionsA54</v>
      </c>
      <c r="B51" s="211" t="s">
        <v>1050</v>
      </c>
      <c r="C51" s="211" t="s">
        <v>2551</v>
      </c>
      <c r="D51" s="211" t="s">
        <v>876</v>
      </c>
      <c r="E51" s="208" t="s">
        <v>2919</v>
      </c>
      <c r="F51" s="208" t="s">
        <v>1552</v>
      </c>
      <c r="G51" s="212" t="s">
        <v>699</v>
      </c>
      <c r="H51" s="215" t="s">
        <v>900</v>
      </c>
      <c r="I51" s="212" t="s">
        <v>498</v>
      </c>
      <c r="J51" s="212" t="s">
        <v>2722</v>
      </c>
      <c r="K51" s="223" t="s">
        <v>308</v>
      </c>
      <c r="L51" s="213" t="s">
        <v>21</v>
      </c>
    </row>
    <row r="52" spans="1:12" ht="114">
      <c r="A52" s="211" t="str">
        <f t="shared" si="0"/>
        <v>InstructionsA55</v>
      </c>
      <c r="B52" s="211" t="s">
        <v>1050</v>
      </c>
      <c r="C52" s="211" t="s">
        <v>2552</v>
      </c>
      <c r="D52" s="211" t="s">
        <v>877</v>
      </c>
      <c r="E52" s="208" t="s">
        <v>2920</v>
      </c>
      <c r="F52" s="208" t="s">
        <v>1553</v>
      </c>
      <c r="G52" s="212" t="s">
        <v>700</v>
      </c>
      <c r="H52" s="212" t="s">
        <v>901</v>
      </c>
      <c r="I52" s="212" t="s">
        <v>499</v>
      </c>
      <c r="J52" s="212" t="s">
        <v>2723</v>
      </c>
      <c r="K52" s="223" t="s">
        <v>309</v>
      </c>
      <c r="L52" s="213" t="s">
        <v>22</v>
      </c>
    </row>
    <row r="53" spans="1:12" ht="171">
      <c r="A53" s="211" t="str">
        <f>B53&amp;C53</f>
        <v>InstructionsA56</v>
      </c>
      <c r="B53" s="211" t="s">
        <v>1050</v>
      </c>
      <c r="C53" s="211" t="s">
        <v>2553</v>
      </c>
      <c r="D53" s="211" t="s">
        <v>879</v>
      </c>
      <c r="E53" s="208" t="s">
        <v>1145</v>
      </c>
      <c r="F53" s="208" t="s">
        <v>1554</v>
      </c>
      <c r="G53" s="212" t="s">
        <v>701</v>
      </c>
      <c r="H53" s="212" t="s">
        <v>902</v>
      </c>
      <c r="I53" s="212" t="s">
        <v>298</v>
      </c>
      <c r="J53" s="212" t="s">
        <v>2724</v>
      </c>
      <c r="K53" s="223" t="s">
        <v>310</v>
      </c>
      <c r="L53" s="213" t="s">
        <v>23</v>
      </c>
    </row>
    <row r="54" spans="1:12" ht="114">
      <c r="A54" s="211" t="str">
        <f>B54&amp;C54</f>
        <v>InstructionsA57</v>
      </c>
      <c r="B54" s="211" t="s">
        <v>1050</v>
      </c>
      <c r="C54" s="211" t="s">
        <v>878</v>
      </c>
      <c r="D54" s="211" t="s">
        <v>1302</v>
      </c>
      <c r="E54" s="208" t="s">
        <v>1146</v>
      </c>
      <c r="F54" s="208" t="s">
        <v>550</v>
      </c>
      <c r="G54" s="212" t="s">
        <v>702</v>
      </c>
      <c r="H54" s="212" t="s">
        <v>903</v>
      </c>
      <c r="I54" s="212" t="s">
        <v>299</v>
      </c>
      <c r="J54" s="212" t="s">
        <v>2725</v>
      </c>
      <c r="K54" s="223" t="s">
        <v>311</v>
      </c>
      <c r="L54" s="213" t="s">
        <v>24</v>
      </c>
    </row>
    <row r="55" spans="1:12" ht="63.75">
      <c r="A55" s="211" t="str">
        <f t="shared" si="0"/>
        <v>InstructionsA58</v>
      </c>
      <c r="B55" s="211" t="s">
        <v>1050</v>
      </c>
      <c r="C55" s="211" t="s">
        <v>2554</v>
      </c>
      <c r="D55" s="228" t="s">
        <v>2984</v>
      </c>
      <c r="E55" s="228" t="s">
        <v>2985</v>
      </c>
      <c r="F55" s="244" t="s">
        <v>2986</v>
      </c>
      <c r="G55" s="228" t="s">
        <v>3074</v>
      </c>
      <c r="H55" s="228" t="s">
        <v>3075</v>
      </c>
      <c r="I55" s="228" t="s">
        <v>3076</v>
      </c>
      <c r="J55" s="228" t="s">
        <v>3077</v>
      </c>
      <c r="K55" s="228" t="s">
        <v>3078</v>
      </c>
      <c r="L55" s="228" t="s">
        <v>3079</v>
      </c>
    </row>
    <row r="56" spans="1:12" ht="63.75">
      <c r="A56" s="211" t="str">
        <f t="shared" si="0"/>
        <v>InstructionsA59</v>
      </c>
      <c r="B56" s="211" t="s">
        <v>1050</v>
      </c>
      <c r="C56" s="211" t="s">
        <v>2555</v>
      </c>
      <c r="D56" s="228" t="s">
        <v>2987</v>
      </c>
      <c r="E56" s="228" t="s">
        <v>2988</v>
      </c>
      <c r="F56" s="244" t="s">
        <v>2989</v>
      </c>
      <c r="G56" s="228" t="s">
        <v>3080</v>
      </c>
      <c r="H56" s="228" t="s">
        <v>3081</v>
      </c>
      <c r="I56" s="228" t="s">
        <v>3082</v>
      </c>
      <c r="J56" s="228" t="s">
        <v>3083</v>
      </c>
      <c r="K56" s="228" t="s">
        <v>3084</v>
      </c>
      <c r="L56" s="228" t="s">
        <v>3085</v>
      </c>
    </row>
    <row r="57" spans="1:12" ht="63.75">
      <c r="A57" s="211" t="str">
        <f t="shared" si="0"/>
        <v>InstructionsA60</v>
      </c>
      <c r="B57" s="211" t="s">
        <v>1050</v>
      </c>
      <c r="C57" s="211" t="s">
        <v>2556</v>
      </c>
      <c r="D57" s="228" t="s">
        <v>2990</v>
      </c>
      <c r="E57" s="228" t="s">
        <v>2991</v>
      </c>
      <c r="F57" s="244" t="s">
        <v>2992</v>
      </c>
      <c r="G57" s="228" t="s">
        <v>3086</v>
      </c>
      <c r="H57" s="228" t="s">
        <v>3087</v>
      </c>
      <c r="I57" s="228" t="s">
        <v>3088</v>
      </c>
      <c r="J57" s="228" t="s">
        <v>2993</v>
      </c>
      <c r="K57" s="228" t="s">
        <v>3089</v>
      </c>
      <c r="L57" s="228" t="s">
        <v>3090</v>
      </c>
    </row>
    <row r="58" spans="1:12" ht="409.5">
      <c r="A58" s="211" t="str">
        <f t="shared" si="0"/>
        <v>InstructionsA61</v>
      </c>
      <c r="B58" s="211" t="s">
        <v>1050</v>
      </c>
      <c r="C58" s="211" t="s">
        <v>2557</v>
      </c>
      <c r="D58" s="211" t="s">
        <v>1303</v>
      </c>
      <c r="E58" s="208" t="s">
        <v>2921</v>
      </c>
      <c r="F58" s="208" t="s">
        <v>1555</v>
      </c>
      <c r="G58" s="213" t="s">
        <v>703</v>
      </c>
      <c r="H58" s="212" t="s">
        <v>904</v>
      </c>
      <c r="I58" s="212" t="s">
        <v>117</v>
      </c>
      <c r="J58" s="212" t="s">
        <v>2726</v>
      </c>
      <c r="K58" s="223" t="s">
        <v>312</v>
      </c>
      <c r="L58" s="213" t="s">
        <v>25</v>
      </c>
    </row>
    <row r="59" spans="1:12" ht="128.25">
      <c r="A59" s="211" t="str">
        <f t="shared" si="0"/>
        <v>InstructionsA62</v>
      </c>
      <c r="B59" s="211" t="s">
        <v>1050</v>
      </c>
      <c r="C59" s="211" t="s">
        <v>2558</v>
      </c>
      <c r="D59" s="211" t="s">
        <v>1304</v>
      </c>
      <c r="E59" s="208" t="s">
        <v>1147</v>
      </c>
      <c r="F59" s="208" t="s">
        <v>910</v>
      </c>
      <c r="G59" s="212" t="s">
        <v>1115</v>
      </c>
      <c r="H59" s="212" t="s">
        <v>905</v>
      </c>
      <c r="I59" s="212" t="s">
        <v>118</v>
      </c>
      <c r="J59" s="212" t="s">
        <v>2727</v>
      </c>
      <c r="K59" s="223" t="s">
        <v>313</v>
      </c>
      <c r="L59" s="213" t="s">
        <v>26</v>
      </c>
    </row>
    <row r="60" spans="1:12" ht="199.5">
      <c r="A60" s="211" t="str">
        <f t="shared" si="0"/>
        <v>InstructionsA63</v>
      </c>
      <c r="B60" s="211" t="s">
        <v>1050</v>
      </c>
      <c r="C60" s="211" t="s">
        <v>2559</v>
      </c>
      <c r="D60" s="211" t="s">
        <v>1314</v>
      </c>
      <c r="E60" s="208" t="s">
        <v>1148</v>
      </c>
      <c r="F60" s="208" t="s">
        <v>911</v>
      </c>
      <c r="G60" s="212" t="s">
        <v>704</v>
      </c>
      <c r="H60" s="212" t="s">
        <v>906</v>
      </c>
      <c r="I60" s="212" t="s">
        <v>119</v>
      </c>
      <c r="J60" s="212" t="s">
        <v>2767</v>
      </c>
      <c r="K60" s="223" t="s">
        <v>314</v>
      </c>
      <c r="L60" s="213" t="s">
        <v>27</v>
      </c>
    </row>
    <row r="61" spans="1:12" ht="156.75">
      <c r="A61" s="211" t="str">
        <f t="shared" si="0"/>
        <v>InstructionsA64</v>
      </c>
      <c r="B61" s="211" t="s">
        <v>1050</v>
      </c>
      <c r="C61" s="211" t="s">
        <v>2560</v>
      </c>
      <c r="D61" s="211" t="s">
        <v>1313</v>
      </c>
      <c r="E61" s="208" t="s">
        <v>1149</v>
      </c>
      <c r="F61" s="208" t="s">
        <v>912</v>
      </c>
      <c r="G61" s="212" t="s">
        <v>705</v>
      </c>
      <c r="H61" s="212" t="s">
        <v>907</v>
      </c>
      <c r="I61" s="212" t="s">
        <v>120</v>
      </c>
      <c r="J61" s="212" t="s">
        <v>2728</v>
      </c>
      <c r="K61" s="223" t="s">
        <v>315</v>
      </c>
      <c r="L61" s="213" t="s">
        <v>28</v>
      </c>
    </row>
    <row r="62" spans="1:12" ht="185.25">
      <c r="A62" s="211" t="str">
        <f t="shared" si="0"/>
        <v>InstructionsA65</v>
      </c>
      <c r="B62" s="211" t="s">
        <v>1050</v>
      </c>
      <c r="C62" s="211" t="s">
        <v>1305</v>
      </c>
      <c r="D62" s="211" t="s">
        <v>1315</v>
      </c>
      <c r="E62" s="208" t="s">
        <v>1150</v>
      </c>
      <c r="F62" s="208" t="s">
        <v>913</v>
      </c>
      <c r="G62" s="212" t="s">
        <v>706</v>
      </c>
      <c r="H62" s="212" t="s">
        <v>908</v>
      </c>
      <c r="I62" s="212" t="s">
        <v>121</v>
      </c>
      <c r="J62" s="212" t="s">
        <v>2729</v>
      </c>
      <c r="K62" s="223" t="s">
        <v>316</v>
      </c>
      <c r="L62" s="213" t="s">
        <v>29</v>
      </c>
    </row>
    <row r="63" spans="1:12" ht="128.25">
      <c r="A63" s="211" t="str">
        <f>B63&amp;C63</f>
        <v>InstructionsA66</v>
      </c>
      <c r="B63" s="211" t="s">
        <v>1050</v>
      </c>
      <c r="C63" s="211" t="s">
        <v>1306</v>
      </c>
      <c r="D63" s="211" t="s">
        <v>1307</v>
      </c>
      <c r="E63" s="208" t="s">
        <v>1151</v>
      </c>
      <c r="F63" s="208" t="s">
        <v>551</v>
      </c>
      <c r="G63" s="212" t="s">
        <v>707</v>
      </c>
      <c r="H63" s="212" t="s">
        <v>909</v>
      </c>
      <c r="I63" s="212" t="s">
        <v>122</v>
      </c>
      <c r="J63" s="212" t="s">
        <v>2730</v>
      </c>
      <c r="K63" s="223" t="s">
        <v>317</v>
      </c>
      <c r="L63" s="213" t="s">
        <v>30</v>
      </c>
    </row>
    <row r="64" spans="1:12" ht="57">
      <c r="A64" s="211" t="str">
        <f t="shared" si="0"/>
        <v>InstructionsA67</v>
      </c>
      <c r="B64" s="211" t="s">
        <v>1050</v>
      </c>
      <c r="C64" s="211" t="s">
        <v>1309</v>
      </c>
      <c r="D64" s="211" t="s">
        <v>1308</v>
      </c>
      <c r="E64" s="208" t="s">
        <v>1152</v>
      </c>
      <c r="F64" s="208" t="s">
        <v>914</v>
      </c>
      <c r="G64" s="212" t="s">
        <v>1310</v>
      </c>
      <c r="H64" s="212" t="s">
        <v>619</v>
      </c>
      <c r="I64" s="212" t="s">
        <v>123</v>
      </c>
      <c r="J64" s="212" t="s">
        <v>1311</v>
      </c>
      <c r="K64" s="223" t="s">
        <v>318</v>
      </c>
      <c r="L64" s="213" t="s">
        <v>1312</v>
      </c>
    </row>
    <row r="65" spans="1:12" ht="256.5">
      <c r="A65" s="211" t="str">
        <f>B65&amp;C65</f>
        <v>InstructionsA69</v>
      </c>
      <c r="B65" s="211" t="s">
        <v>1050</v>
      </c>
      <c r="C65" s="211" t="s">
        <v>1316</v>
      </c>
      <c r="D65" s="211" t="s">
        <v>1324</v>
      </c>
      <c r="E65" s="208" t="s">
        <v>1153</v>
      </c>
      <c r="F65" s="208" t="s">
        <v>915</v>
      </c>
      <c r="G65" s="212" t="s">
        <v>708</v>
      </c>
      <c r="H65" s="208" t="s">
        <v>2922</v>
      </c>
      <c r="I65" s="212" t="s">
        <v>124</v>
      </c>
      <c r="J65" s="212" t="s">
        <v>2768</v>
      </c>
      <c r="K65" s="223" t="s">
        <v>319</v>
      </c>
      <c r="L65" s="213" t="s">
        <v>243</v>
      </c>
    </row>
    <row r="66" spans="1:12" ht="57">
      <c r="A66" s="211" t="str">
        <f t="shared" si="0"/>
        <v>InstructionsA71</v>
      </c>
      <c r="B66" s="211" t="s">
        <v>1050</v>
      </c>
      <c r="C66" s="211" t="s">
        <v>1317</v>
      </c>
      <c r="D66" s="211" t="s">
        <v>1908</v>
      </c>
      <c r="E66" s="212" t="s">
        <v>2501</v>
      </c>
      <c r="F66" s="208" t="s">
        <v>2502</v>
      </c>
      <c r="G66" s="212" t="s">
        <v>2050</v>
      </c>
      <c r="H66" s="208" t="s">
        <v>620</v>
      </c>
      <c r="I66" s="212" t="s">
        <v>2503</v>
      </c>
      <c r="J66" s="212" t="s">
        <v>2504</v>
      </c>
      <c r="K66" s="223"/>
      <c r="L66" s="213" t="s">
        <v>2610</v>
      </c>
    </row>
    <row r="67" spans="1:12" ht="409.5">
      <c r="A67" s="211" t="str">
        <f t="shared" si="0"/>
        <v>InstructionsA72</v>
      </c>
      <c r="B67" s="211" t="s">
        <v>1050</v>
      </c>
      <c r="C67" s="211" t="s">
        <v>1318</v>
      </c>
      <c r="D67" s="211" t="s">
        <v>1909</v>
      </c>
      <c r="E67" s="212" t="s">
        <v>1154</v>
      </c>
      <c r="F67" s="208" t="s">
        <v>2505</v>
      </c>
      <c r="G67" s="212" t="s">
        <v>1288</v>
      </c>
      <c r="H67" s="208" t="s">
        <v>215</v>
      </c>
      <c r="I67" s="212" t="s">
        <v>125</v>
      </c>
      <c r="J67" s="212" t="s">
        <v>2769</v>
      </c>
      <c r="K67" s="223" t="s">
        <v>320</v>
      </c>
      <c r="L67" s="213" t="s">
        <v>1293</v>
      </c>
    </row>
    <row r="68" spans="1:12" ht="228">
      <c r="A68" s="211" t="str">
        <f t="shared" si="0"/>
        <v>InstructionsA73</v>
      </c>
      <c r="B68" s="211" t="s">
        <v>1050</v>
      </c>
      <c r="C68" s="211" t="s">
        <v>1319</v>
      </c>
      <c r="D68" s="211" t="s">
        <v>1932</v>
      </c>
      <c r="E68" s="212" t="s">
        <v>1155</v>
      </c>
      <c r="F68" s="208" t="s">
        <v>1587</v>
      </c>
      <c r="G68" s="212" t="s">
        <v>1588</v>
      </c>
      <c r="H68" s="208" t="s">
        <v>621</v>
      </c>
      <c r="I68" s="212" t="s">
        <v>126</v>
      </c>
      <c r="J68" s="212" t="s">
        <v>2770</v>
      </c>
      <c r="K68" s="223" t="s">
        <v>1811</v>
      </c>
      <c r="L68" s="213" t="s">
        <v>2611</v>
      </c>
    </row>
    <row r="69" spans="1:12" ht="199.5">
      <c r="A69" s="211" t="str">
        <f t="shared" si="0"/>
        <v>InstructionsA74</v>
      </c>
      <c r="B69" s="211" t="s">
        <v>1050</v>
      </c>
      <c r="C69" s="211" t="s">
        <v>1320</v>
      </c>
      <c r="D69" s="211" t="s">
        <v>1933</v>
      </c>
      <c r="E69" s="212" t="s">
        <v>1156</v>
      </c>
      <c r="F69" s="208" t="s">
        <v>1589</v>
      </c>
      <c r="G69" s="212" t="s">
        <v>1590</v>
      </c>
      <c r="H69" s="208" t="s">
        <v>216</v>
      </c>
      <c r="I69" s="212" t="s">
        <v>127</v>
      </c>
      <c r="J69" s="212" t="s">
        <v>1591</v>
      </c>
      <c r="K69" s="223" t="s">
        <v>321</v>
      </c>
      <c r="L69" s="213" t="s">
        <v>2612</v>
      </c>
    </row>
    <row r="70" spans="1:12" ht="409.5">
      <c r="A70" s="211" t="str">
        <f t="shared" si="0"/>
        <v>InstructionsA75</v>
      </c>
      <c r="B70" s="211" t="s">
        <v>1050</v>
      </c>
      <c r="C70" s="211" t="s">
        <v>1321</v>
      </c>
      <c r="D70" s="211" t="s">
        <v>1949</v>
      </c>
      <c r="E70" s="212" t="s">
        <v>1157</v>
      </c>
      <c r="F70" s="208" t="s">
        <v>1999</v>
      </c>
      <c r="G70" s="212" t="s">
        <v>1950</v>
      </c>
      <c r="H70" s="208" t="s">
        <v>217</v>
      </c>
      <c r="I70" s="212" t="s">
        <v>128</v>
      </c>
      <c r="J70" s="212" t="s">
        <v>2592</v>
      </c>
      <c r="K70" s="223" t="s">
        <v>1998</v>
      </c>
      <c r="L70" s="213" t="s">
        <v>2506</v>
      </c>
    </row>
    <row r="71" spans="1:12" ht="142.5">
      <c r="A71" s="211" t="str">
        <f t="shared" si="0"/>
        <v>InstructionsA76</v>
      </c>
      <c r="B71" s="211" t="s">
        <v>1050</v>
      </c>
      <c r="C71" s="211" t="s">
        <v>1322</v>
      </c>
      <c r="D71" s="211" t="s">
        <v>1934</v>
      </c>
      <c r="E71" s="212" t="s">
        <v>1158</v>
      </c>
      <c r="F71" s="208" t="s">
        <v>2000</v>
      </c>
      <c r="G71" s="212" t="s">
        <v>1592</v>
      </c>
      <c r="H71" s="208" t="s">
        <v>218</v>
      </c>
      <c r="I71" s="212" t="s">
        <v>129</v>
      </c>
      <c r="J71" s="212" t="s">
        <v>2771</v>
      </c>
      <c r="K71" s="223" t="s">
        <v>2426</v>
      </c>
      <c r="L71" s="213" t="s">
        <v>2613</v>
      </c>
    </row>
    <row r="72" spans="1:12" ht="57">
      <c r="A72" s="211" t="str">
        <f t="shared" si="0"/>
        <v>InstructionsA77</v>
      </c>
      <c r="B72" s="211" t="s">
        <v>1050</v>
      </c>
      <c r="C72" s="211" t="s">
        <v>1323</v>
      </c>
      <c r="D72" s="211" t="s">
        <v>1935</v>
      </c>
      <c r="E72" s="212" t="s">
        <v>1593</v>
      </c>
      <c r="F72" s="208" t="s">
        <v>1594</v>
      </c>
      <c r="G72" s="212" t="s">
        <v>1595</v>
      </c>
      <c r="H72" s="208" t="s">
        <v>219</v>
      </c>
      <c r="I72" s="212" t="s">
        <v>130</v>
      </c>
      <c r="J72" s="212" t="s">
        <v>2082</v>
      </c>
      <c r="K72" s="223" t="s">
        <v>2427</v>
      </c>
      <c r="L72" s="213" t="s">
        <v>2614</v>
      </c>
    </row>
    <row r="73" spans="1:12">
      <c r="A73" s="211" t="str">
        <f t="shared" si="0"/>
        <v>DefinitionsB2</v>
      </c>
      <c r="B73" s="211" t="s">
        <v>1951</v>
      </c>
      <c r="C73" s="211" t="s">
        <v>2001</v>
      </c>
      <c r="D73" s="211" t="s">
        <v>2083</v>
      </c>
      <c r="E73" s="212" t="s">
        <v>1641</v>
      </c>
      <c r="F73" s="208" t="s">
        <v>2136</v>
      </c>
      <c r="G73" s="212" t="s">
        <v>1646</v>
      </c>
      <c r="H73" s="208" t="s">
        <v>2083</v>
      </c>
      <c r="I73" s="212" t="s">
        <v>131</v>
      </c>
      <c r="J73" s="212" t="s">
        <v>2084</v>
      </c>
      <c r="K73" s="223" t="s">
        <v>2428</v>
      </c>
      <c r="L73" s="213" t="s">
        <v>1233</v>
      </c>
    </row>
    <row r="74" spans="1:12" ht="27">
      <c r="A74" s="211" t="str">
        <f>B74&amp;C74</f>
        <v>DefinitionsB3</v>
      </c>
      <c r="B74" s="211" t="s">
        <v>1951</v>
      </c>
      <c r="C74" s="211" t="s">
        <v>1952</v>
      </c>
      <c r="D74" s="211" t="s">
        <v>2012</v>
      </c>
      <c r="E74" s="208" t="s">
        <v>1159</v>
      </c>
      <c r="F74" s="208" t="s">
        <v>2012</v>
      </c>
      <c r="G74" s="212" t="s">
        <v>2012</v>
      </c>
      <c r="H74" s="208" t="s">
        <v>2012</v>
      </c>
      <c r="I74" s="212" t="s">
        <v>2012</v>
      </c>
      <c r="J74" s="212" t="s">
        <v>2012</v>
      </c>
      <c r="K74" s="223" t="s">
        <v>2012</v>
      </c>
      <c r="L74" s="213" t="s">
        <v>2012</v>
      </c>
    </row>
    <row r="75" spans="1:12">
      <c r="A75" s="211" t="str">
        <f t="shared" si="0"/>
        <v>DefinitionsB4</v>
      </c>
      <c r="B75" s="211" t="s">
        <v>1951</v>
      </c>
      <c r="C75" s="211" t="s">
        <v>1953</v>
      </c>
      <c r="D75" s="211" t="s">
        <v>2014</v>
      </c>
      <c r="E75" s="208" t="s">
        <v>1160</v>
      </c>
      <c r="F75" s="208" t="s">
        <v>916</v>
      </c>
      <c r="G75" s="212" t="s">
        <v>709</v>
      </c>
      <c r="H75" s="208" t="s">
        <v>205</v>
      </c>
      <c r="I75" s="212" t="s">
        <v>132</v>
      </c>
      <c r="J75" s="212" t="s">
        <v>2731</v>
      </c>
      <c r="K75" s="223" t="s">
        <v>322</v>
      </c>
      <c r="L75" s="213" t="s">
        <v>244</v>
      </c>
    </row>
    <row r="76" spans="1:12" ht="28.5">
      <c r="A76" s="211" t="str">
        <f t="shared" si="0"/>
        <v>DefinitionsB5</v>
      </c>
      <c r="B76" s="211" t="s">
        <v>1951</v>
      </c>
      <c r="C76" s="211" t="s">
        <v>1954</v>
      </c>
      <c r="D76" s="211" t="s">
        <v>2016</v>
      </c>
      <c r="E76" s="208" t="s">
        <v>1161</v>
      </c>
      <c r="F76" s="208" t="s">
        <v>2085</v>
      </c>
      <c r="G76" s="212" t="s">
        <v>1289</v>
      </c>
      <c r="H76" s="212" t="s">
        <v>622</v>
      </c>
      <c r="I76" s="212" t="s">
        <v>133</v>
      </c>
      <c r="J76" s="212" t="s">
        <v>165</v>
      </c>
      <c r="K76" s="223" t="s">
        <v>2429</v>
      </c>
      <c r="L76" s="213" t="s">
        <v>1234</v>
      </c>
    </row>
    <row r="77" spans="1:12" ht="28.5">
      <c r="A77" s="211" t="str">
        <f t="shared" si="0"/>
        <v>DefinitionsB6</v>
      </c>
      <c r="B77" s="211" t="s">
        <v>1951</v>
      </c>
      <c r="C77" s="211" t="s">
        <v>1955</v>
      </c>
      <c r="D77" s="211" t="s">
        <v>2017</v>
      </c>
      <c r="E77" s="208" t="s">
        <v>1162</v>
      </c>
      <c r="F77" s="208" t="s">
        <v>2152</v>
      </c>
      <c r="G77" s="212" t="s">
        <v>1290</v>
      </c>
      <c r="H77" s="208" t="s">
        <v>623</v>
      </c>
      <c r="I77" s="212" t="s">
        <v>134</v>
      </c>
      <c r="J77" s="212" t="s">
        <v>166</v>
      </c>
      <c r="K77" s="223" t="s">
        <v>2430</v>
      </c>
      <c r="L77" s="213" t="s">
        <v>1235</v>
      </c>
    </row>
    <row r="78" spans="1:12" ht="28.5">
      <c r="A78" s="211" t="str">
        <f t="shared" si="0"/>
        <v>DefinitionsB7</v>
      </c>
      <c r="B78" s="211" t="s">
        <v>1951</v>
      </c>
      <c r="C78" s="211" t="s">
        <v>1956</v>
      </c>
      <c r="D78" s="211" t="s">
        <v>2019</v>
      </c>
      <c r="E78" s="208" t="s">
        <v>1163</v>
      </c>
      <c r="F78" s="208" t="s">
        <v>917</v>
      </c>
      <c r="G78" s="212" t="s">
        <v>710</v>
      </c>
      <c r="H78" s="208" t="s">
        <v>624</v>
      </c>
      <c r="I78" s="212" t="s">
        <v>135</v>
      </c>
      <c r="J78" s="212" t="s">
        <v>167</v>
      </c>
      <c r="K78" s="223" t="s">
        <v>323</v>
      </c>
      <c r="L78" s="213" t="s">
        <v>245</v>
      </c>
    </row>
    <row r="79" spans="1:12" ht="27">
      <c r="A79" s="211" t="str">
        <f t="shared" si="0"/>
        <v>DefinitionsB8</v>
      </c>
      <c r="B79" s="211" t="s">
        <v>1951</v>
      </c>
      <c r="C79" s="211" t="s">
        <v>1957</v>
      </c>
      <c r="D79" s="211" t="s">
        <v>1633</v>
      </c>
      <c r="E79" s="208" t="s">
        <v>1164</v>
      </c>
      <c r="F79" s="208" t="s">
        <v>2153</v>
      </c>
      <c r="G79" s="212" t="s">
        <v>1291</v>
      </c>
      <c r="H79" s="212" t="s">
        <v>2086</v>
      </c>
      <c r="I79" s="212" t="s">
        <v>136</v>
      </c>
      <c r="J79" s="212" t="s">
        <v>2596</v>
      </c>
      <c r="K79" s="223" t="s">
        <v>2431</v>
      </c>
      <c r="L79" s="213" t="s">
        <v>1236</v>
      </c>
    </row>
    <row r="80" spans="1:12">
      <c r="A80" s="211" t="str">
        <f>B80&amp;C80</f>
        <v>DefinitionsB9</v>
      </c>
      <c r="B80" s="211" t="s">
        <v>1951</v>
      </c>
      <c r="C80" s="211" t="s">
        <v>1958</v>
      </c>
      <c r="D80" s="211" t="s">
        <v>2021</v>
      </c>
      <c r="E80" s="208" t="s">
        <v>1165</v>
      </c>
      <c r="F80" s="208" t="s">
        <v>918</v>
      </c>
      <c r="G80" s="212" t="s">
        <v>711</v>
      </c>
      <c r="H80" s="212" t="s">
        <v>625</v>
      </c>
      <c r="I80" s="212" t="s">
        <v>137</v>
      </c>
      <c r="J80" s="212" t="s">
        <v>2732</v>
      </c>
      <c r="K80" s="223" t="s">
        <v>324</v>
      </c>
      <c r="L80" s="213" t="s">
        <v>246</v>
      </c>
    </row>
    <row r="81" spans="1:12">
      <c r="A81" s="211" t="str">
        <f t="shared" ref="A81:A168" si="2">B81&amp;C81</f>
        <v>DefinitionsB10</v>
      </c>
      <c r="B81" s="211" t="s">
        <v>1951</v>
      </c>
      <c r="C81" s="211" t="s">
        <v>1959</v>
      </c>
      <c r="D81" s="211" t="s">
        <v>2023</v>
      </c>
      <c r="E81" s="208" t="s">
        <v>1166</v>
      </c>
      <c r="F81" s="208" t="s">
        <v>919</v>
      </c>
      <c r="G81" s="212" t="s">
        <v>2087</v>
      </c>
      <c r="H81" s="212" t="s">
        <v>2088</v>
      </c>
      <c r="I81" s="212" t="s">
        <v>138</v>
      </c>
      <c r="J81" s="212" t="s">
        <v>168</v>
      </c>
      <c r="K81" s="223" t="s">
        <v>325</v>
      </c>
      <c r="L81" s="213" t="s">
        <v>1237</v>
      </c>
    </row>
    <row r="82" spans="1:12" ht="40.5">
      <c r="A82" s="211" t="str">
        <f t="shared" si="2"/>
        <v>DefinitionsB11</v>
      </c>
      <c r="B82" s="211" t="s">
        <v>1951</v>
      </c>
      <c r="C82" s="211" t="s">
        <v>1960</v>
      </c>
      <c r="D82" s="211" t="s">
        <v>1645</v>
      </c>
      <c r="E82" s="212" t="s">
        <v>1167</v>
      </c>
      <c r="F82" s="208" t="s">
        <v>920</v>
      </c>
      <c r="G82" s="212" t="s">
        <v>1645</v>
      </c>
      <c r="H82" s="212" t="s">
        <v>1645</v>
      </c>
      <c r="I82" s="212" t="s">
        <v>1645</v>
      </c>
      <c r="J82" s="212" t="s">
        <v>1645</v>
      </c>
      <c r="K82" s="223" t="s">
        <v>1645</v>
      </c>
      <c r="L82" s="213" t="s">
        <v>1645</v>
      </c>
    </row>
    <row r="83" spans="1:12">
      <c r="A83" s="211" t="str">
        <f t="shared" si="2"/>
        <v>DefinitionsB12</v>
      </c>
      <c r="B83" s="211" t="s">
        <v>1951</v>
      </c>
      <c r="C83" s="211" t="s">
        <v>1961</v>
      </c>
      <c r="D83" s="211" t="s">
        <v>1634</v>
      </c>
      <c r="E83" s="212" t="s">
        <v>1168</v>
      </c>
      <c r="F83" s="208" t="s">
        <v>2089</v>
      </c>
      <c r="G83" s="212" t="s">
        <v>2090</v>
      </c>
      <c r="H83" s="212" t="s">
        <v>2091</v>
      </c>
      <c r="I83" s="212" t="s">
        <v>2091</v>
      </c>
      <c r="J83" s="212" t="s">
        <v>2733</v>
      </c>
      <c r="K83" s="223" t="s">
        <v>1634</v>
      </c>
      <c r="L83" s="213" t="s">
        <v>2091</v>
      </c>
    </row>
    <row r="84" spans="1:12" ht="27">
      <c r="A84" s="211" t="str">
        <f t="shared" si="2"/>
        <v>DefinitionsB13</v>
      </c>
      <c r="B84" s="211" t="s">
        <v>1951</v>
      </c>
      <c r="C84" s="211" t="s">
        <v>1962</v>
      </c>
      <c r="D84" s="211" t="s">
        <v>2025</v>
      </c>
      <c r="E84" s="212" t="s">
        <v>1169</v>
      </c>
      <c r="F84" s="208" t="s">
        <v>2154</v>
      </c>
      <c r="G84" s="212" t="s">
        <v>1635</v>
      </c>
      <c r="H84" s="212" t="s">
        <v>2092</v>
      </c>
      <c r="I84" s="212" t="s">
        <v>2093</v>
      </c>
      <c r="J84" s="212" t="s">
        <v>2734</v>
      </c>
      <c r="K84" s="223" t="s">
        <v>326</v>
      </c>
      <c r="L84" s="213" t="s">
        <v>1238</v>
      </c>
    </row>
    <row r="85" spans="1:12">
      <c r="A85" s="211" t="str">
        <f t="shared" si="2"/>
        <v>DefinitionsB14</v>
      </c>
      <c r="B85" s="211" t="s">
        <v>1951</v>
      </c>
      <c r="C85" s="211" t="s">
        <v>1963</v>
      </c>
      <c r="D85" s="211" t="s">
        <v>1629</v>
      </c>
      <c r="E85" s="212" t="s">
        <v>2094</v>
      </c>
      <c r="F85" s="208" t="s">
        <v>1629</v>
      </c>
      <c r="G85" s="212" t="s">
        <v>1629</v>
      </c>
      <c r="H85" s="212" t="s">
        <v>1629</v>
      </c>
      <c r="I85" s="212" t="s">
        <v>1629</v>
      </c>
      <c r="J85" s="212" t="s">
        <v>1629</v>
      </c>
      <c r="K85" s="223" t="s">
        <v>1629</v>
      </c>
      <c r="L85" s="213" t="s">
        <v>1629</v>
      </c>
    </row>
    <row r="86" spans="1:12">
      <c r="A86" s="211" t="str">
        <f t="shared" si="2"/>
        <v>DefinitionsB15</v>
      </c>
      <c r="B86" s="211" t="s">
        <v>1951</v>
      </c>
      <c r="C86" s="211" t="s">
        <v>1964</v>
      </c>
      <c r="D86" s="211" t="s">
        <v>1630</v>
      </c>
      <c r="E86" s="212" t="s">
        <v>1170</v>
      </c>
      <c r="F86" s="208" t="s">
        <v>1644</v>
      </c>
      <c r="G86" s="212" t="s">
        <v>1644</v>
      </c>
      <c r="H86" s="212" t="s">
        <v>1644</v>
      </c>
      <c r="I86" s="212" t="s">
        <v>139</v>
      </c>
      <c r="J86" s="212" t="s">
        <v>1644</v>
      </c>
      <c r="K86" s="223" t="s">
        <v>1630</v>
      </c>
      <c r="L86" s="213" t="s">
        <v>1644</v>
      </c>
    </row>
    <row r="87" spans="1:12" ht="28.5">
      <c r="A87" s="211" t="str">
        <f t="shared" si="2"/>
        <v>DefinitionsB16</v>
      </c>
      <c r="B87" s="211" t="s">
        <v>1951</v>
      </c>
      <c r="C87" s="211" t="s">
        <v>1965</v>
      </c>
      <c r="D87" s="211" t="s">
        <v>2032</v>
      </c>
      <c r="E87" s="208" t="s">
        <v>2095</v>
      </c>
      <c r="F87" s="208" t="s">
        <v>2096</v>
      </c>
      <c r="G87" s="212" t="s">
        <v>712</v>
      </c>
      <c r="H87" s="212" t="s">
        <v>2097</v>
      </c>
      <c r="I87" s="212" t="s">
        <v>140</v>
      </c>
      <c r="J87" s="212" t="s">
        <v>169</v>
      </c>
      <c r="K87" s="223" t="s">
        <v>327</v>
      </c>
      <c r="L87" s="213" t="s">
        <v>1239</v>
      </c>
    </row>
    <row r="88" spans="1:12" ht="28.5">
      <c r="A88" s="211" t="str">
        <f t="shared" ref="A88:A93" si="3">B88&amp;C88</f>
        <v>DefinitionsB17</v>
      </c>
      <c r="B88" s="211" t="s">
        <v>1951</v>
      </c>
      <c r="C88" s="211" t="s">
        <v>1966</v>
      </c>
      <c r="D88" s="212" t="s">
        <v>3832</v>
      </c>
      <c r="E88" s="208" t="s">
        <v>1171</v>
      </c>
      <c r="F88" s="208" t="s">
        <v>921</v>
      </c>
      <c r="G88" s="212" t="s">
        <v>713</v>
      </c>
      <c r="H88" s="212" t="s">
        <v>626</v>
      </c>
      <c r="I88" s="212" t="s">
        <v>141</v>
      </c>
      <c r="J88" s="212" t="s">
        <v>170</v>
      </c>
      <c r="K88" s="223" t="s">
        <v>328</v>
      </c>
      <c r="L88" s="213" t="s">
        <v>247</v>
      </c>
    </row>
    <row r="89" spans="1:12">
      <c r="A89" s="211" t="str">
        <f t="shared" si="3"/>
        <v>DefinitionsB18</v>
      </c>
      <c r="B89" s="211" t="s">
        <v>1951</v>
      </c>
      <c r="C89" s="211" t="s">
        <v>1967</v>
      </c>
      <c r="D89" s="211" t="s">
        <v>2034</v>
      </c>
      <c r="E89" s="208" t="s">
        <v>1172</v>
      </c>
      <c r="F89" s="208" t="s">
        <v>922</v>
      </c>
      <c r="G89" s="212" t="s">
        <v>714</v>
      </c>
      <c r="H89" s="212" t="s">
        <v>627</v>
      </c>
      <c r="I89" s="212" t="s">
        <v>142</v>
      </c>
      <c r="J89" s="212" t="s">
        <v>171</v>
      </c>
      <c r="K89" s="223" t="s">
        <v>329</v>
      </c>
      <c r="L89" s="213" t="s">
        <v>248</v>
      </c>
    </row>
    <row r="90" spans="1:12">
      <c r="A90" s="211" t="str">
        <f t="shared" si="3"/>
        <v>DefinitionsB19</v>
      </c>
      <c r="B90" s="211" t="s">
        <v>1951</v>
      </c>
      <c r="C90" s="211" t="s">
        <v>1968</v>
      </c>
      <c r="D90" s="211" t="s">
        <v>2035</v>
      </c>
      <c r="E90" s="208" t="s">
        <v>1173</v>
      </c>
      <c r="F90" s="208" t="s">
        <v>2035</v>
      </c>
      <c r="G90" s="212" t="s">
        <v>2035</v>
      </c>
      <c r="H90" s="212" t="s">
        <v>2035</v>
      </c>
      <c r="I90" s="212" t="s">
        <v>2035</v>
      </c>
      <c r="J90" s="212" t="s">
        <v>2035</v>
      </c>
      <c r="K90" s="223" t="s">
        <v>2035</v>
      </c>
      <c r="L90" s="213" t="s">
        <v>2035</v>
      </c>
    </row>
    <row r="91" spans="1:12" ht="28.5">
      <c r="A91" s="211" t="str">
        <f t="shared" si="3"/>
        <v>DefinitionsB20</v>
      </c>
      <c r="B91" s="211" t="s">
        <v>1951</v>
      </c>
      <c r="C91" s="211" t="s">
        <v>1969</v>
      </c>
      <c r="D91" s="211" t="s">
        <v>2037</v>
      </c>
      <c r="E91" s="208" t="s">
        <v>1174</v>
      </c>
      <c r="F91" s="208" t="s">
        <v>923</v>
      </c>
      <c r="G91" s="212" t="s">
        <v>715</v>
      </c>
      <c r="H91" s="212" t="s">
        <v>628</v>
      </c>
      <c r="I91" s="212" t="s">
        <v>143</v>
      </c>
      <c r="J91" s="212" t="s">
        <v>2037</v>
      </c>
      <c r="K91" s="223" t="s">
        <v>330</v>
      </c>
      <c r="L91" s="213" t="s">
        <v>2037</v>
      </c>
    </row>
    <row r="92" spans="1:12" ht="28.5">
      <c r="A92" s="211" t="str">
        <f t="shared" si="3"/>
        <v>DefinitionsB21</v>
      </c>
      <c r="B92" s="211" t="s">
        <v>1951</v>
      </c>
      <c r="C92" s="211" t="s">
        <v>1970</v>
      </c>
      <c r="D92" s="211" t="s">
        <v>2039</v>
      </c>
      <c r="E92" s="208" t="s">
        <v>1175</v>
      </c>
      <c r="F92" s="208" t="s">
        <v>924</v>
      </c>
      <c r="G92" s="212" t="s">
        <v>716</v>
      </c>
      <c r="H92" s="212" t="s">
        <v>629</v>
      </c>
      <c r="I92" s="212" t="s">
        <v>144</v>
      </c>
      <c r="J92" s="212" t="s">
        <v>172</v>
      </c>
      <c r="K92" s="223" t="s">
        <v>331</v>
      </c>
      <c r="L92" s="213" t="s">
        <v>249</v>
      </c>
    </row>
    <row r="93" spans="1:12" ht="28.5">
      <c r="A93" s="211" t="str">
        <f t="shared" si="3"/>
        <v>DefinitionsB22</v>
      </c>
      <c r="B93" s="211" t="s">
        <v>1951</v>
      </c>
      <c r="C93" s="211" t="s">
        <v>1971</v>
      </c>
      <c r="D93" s="211" t="s">
        <v>1196</v>
      </c>
      <c r="E93" s="208" t="s">
        <v>1176</v>
      </c>
      <c r="F93" s="208" t="s">
        <v>925</v>
      </c>
      <c r="G93" s="212" t="s">
        <v>717</v>
      </c>
      <c r="H93" s="212" t="s">
        <v>630</v>
      </c>
      <c r="I93" s="212" t="s">
        <v>145</v>
      </c>
      <c r="J93" s="212" t="s">
        <v>173</v>
      </c>
      <c r="K93" s="223" t="s">
        <v>332</v>
      </c>
      <c r="L93" s="213" t="s">
        <v>250</v>
      </c>
    </row>
    <row r="94" spans="1:12">
      <c r="A94" s="211" t="str">
        <f t="shared" si="2"/>
        <v>DefinitionsB23</v>
      </c>
      <c r="B94" s="211" t="s">
        <v>1951</v>
      </c>
      <c r="C94" s="211" t="s">
        <v>1972</v>
      </c>
      <c r="D94" s="211" t="s">
        <v>1632</v>
      </c>
      <c r="E94" s="212" t="s">
        <v>1177</v>
      </c>
      <c r="F94" s="208" t="s">
        <v>2098</v>
      </c>
      <c r="G94" s="212" t="s">
        <v>1632</v>
      </c>
      <c r="H94" s="212" t="s">
        <v>2099</v>
      </c>
      <c r="I94" s="212" t="s">
        <v>2099</v>
      </c>
      <c r="J94" s="212" t="s">
        <v>1632</v>
      </c>
      <c r="K94" s="223" t="s">
        <v>1632</v>
      </c>
      <c r="L94" s="213" t="s">
        <v>1632</v>
      </c>
    </row>
    <row r="95" spans="1:12">
      <c r="A95" s="211" t="str">
        <f t="shared" si="2"/>
        <v>DefinitionsB24</v>
      </c>
      <c r="B95" s="211" t="s">
        <v>1951</v>
      </c>
      <c r="C95" s="211" t="s">
        <v>2002</v>
      </c>
      <c r="D95" s="211" t="s">
        <v>1947</v>
      </c>
      <c r="E95" s="212" t="s">
        <v>2100</v>
      </c>
      <c r="F95" s="208" t="s">
        <v>2101</v>
      </c>
      <c r="G95" s="212" t="s">
        <v>2102</v>
      </c>
      <c r="H95" s="212" t="s">
        <v>2103</v>
      </c>
      <c r="I95" s="212" t="s">
        <v>2104</v>
      </c>
      <c r="J95" s="212" t="s">
        <v>2105</v>
      </c>
      <c r="K95" s="223" t="s">
        <v>2432</v>
      </c>
      <c r="L95" s="213" t="s">
        <v>1240</v>
      </c>
    </row>
    <row r="96" spans="1:12" ht="28.5">
      <c r="A96" s="211" t="str">
        <f t="shared" si="2"/>
        <v>DefinitionsB25</v>
      </c>
      <c r="B96" s="211" t="s">
        <v>1951</v>
      </c>
      <c r="C96" s="211" t="s">
        <v>984</v>
      </c>
      <c r="D96" s="211" t="s">
        <v>1200</v>
      </c>
      <c r="E96" s="212" t="s">
        <v>1178</v>
      </c>
      <c r="F96" s="208" t="s">
        <v>926</v>
      </c>
      <c r="G96" s="212" t="s">
        <v>718</v>
      </c>
      <c r="H96" s="208" t="s">
        <v>631</v>
      </c>
      <c r="I96" s="212" t="s">
        <v>146</v>
      </c>
      <c r="J96" s="212" t="s">
        <v>2735</v>
      </c>
      <c r="K96" s="223" t="s">
        <v>333</v>
      </c>
      <c r="L96" s="213" t="s">
        <v>1241</v>
      </c>
    </row>
    <row r="97" spans="1:12">
      <c r="A97" s="211" t="str">
        <f t="shared" si="2"/>
        <v>DefinitionsB26</v>
      </c>
      <c r="B97" s="211" t="s">
        <v>1951</v>
      </c>
      <c r="C97" s="211" t="s">
        <v>1201</v>
      </c>
      <c r="D97" s="211" t="s">
        <v>1631</v>
      </c>
      <c r="E97" s="208" t="s">
        <v>2106</v>
      </c>
      <c r="F97" s="208" t="s">
        <v>2107</v>
      </c>
      <c r="G97" s="212" t="s">
        <v>2108</v>
      </c>
      <c r="H97" s="212" t="s">
        <v>1631</v>
      </c>
      <c r="I97" s="212" t="s">
        <v>1631</v>
      </c>
      <c r="J97" s="212" t="s">
        <v>1631</v>
      </c>
      <c r="K97" s="223" t="s">
        <v>1631</v>
      </c>
      <c r="L97" s="213" t="s">
        <v>1631</v>
      </c>
    </row>
    <row r="98" spans="1:12" ht="27">
      <c r="A98" s="211" t="str">
        <f t="shared" si="2"/>
        <v>DefinitionsB27</v>
      </c>
      <c r="B98" s="211" t="s">
        <v>1951</v>
      </c>
      <c r="C98" s="211" t="s">
        <v>1204</v>
      </c>
      <c r="D98" s="211" t="s">
        <v>2155</v>
      </c>
      <c r="E98" s="212" t="s">
        <v>2109</v>
      </c>
      <c r="F98" s="208" t="s">
        <v>1655</v>
      </c>
      <c r="G98" s="212" t="s">
        <v>2110</v>
      </c>
      <c r="H98" s="212" t="s">
        <v>2111</v>
      </c>
      <c r="I98" s="212" t="s">
        <v>2112</v>
      </c>
      <c r="J98" s="212" t="s">
        <v>2113</v>
      </c>
      <c r="K98" s="223" t="s">
        <v>2433</v>
      </c>
      <c r="L98" s="213" t="s">
        <v>1242</v>
      </c>
    </row>
    <row r="99" spans="1:12">
      <c r="A99" s="211" t="str">
        <f>B99&amp;C99</f>
        <v>DefinitionsB28</v>
      </c>
      <c r="B99" s="211" t="s">
        <v>1951</v>
      </c>
      <c r="C99" s="211" t="s">
        <v>1207</v>
      </c>
      <c r="D99" s="211" t="s">
        <v>1212</v>
      </c>
      <c r="E99" s="208" t="s">
        <v>1179</v>
      </c>
      <c r="F99" s="208" t="s">
        <v>2496</v>
      </c>
      <c r="G99" s="212" t="s">
        <v>719</v>
      </c>
      <c r="H99" s="212" t="s">
        <v>632</v>
      </c>
      <c r="I99" s="212" t="s">
        <v>147</v>
      </c>
      <c r="J99" s="212" t="s">
        <v>174</v>
      </c>
      <c r="K99" s="223" t="s">
        <v>334</v>
      </c>
      <c r="L99" s="213" t="s">
        <v>251</v>
      </c>
    </row>
    <row r="100" spans="1:12" ht="27">
      <c r="A100" s="211" t="str">
        <f t="shared" si="2"/>
        <v>DefinitionsB29</v>
      </c>
      <c r="B100" s="211" t="s">
        <v>1951</v>
      </c>
      <c r="C100" s="211" t="s">
        <v>1210</v>
      </c>
      <c r="D100" s="211" t="s">
        <v>1214</v>
      </c>
      <c r="E100" s="208" t="s">
        <v>1180</v>
      </c>
      <c r="F100" s="208" t="s">
        <v>1656</v>
      </c>
      <c r="G100" s="212" t="s">
        <v>720</v>
      </c>
      <c r="H100" s="212" t="s">
        <v>2114</v>
      </c>
      <c r="I100" s="212" t="s">
        <v>148</v>
      </c>
      <c r="J100" s="212" t="s">
        <v>175</v>
      </c>
      <c r="K100" s="223" t="s">
        <v>335</v>
      </c>
      <c r="L100" s="213" t="s">
        <v>1243</v>
      </c>
    </row>
    <row r="101" spans="1:12" ht="27">
      <c r="A101" s="211" t="str">
        <f t="shared" si="2"/>
        <v>DefinitionsB30</v>
      </c>
      <c r="B101" s="211" t="s">
        <v>1951</v>
      </c>
      <c r="C101" s="211" t="s">
        <v>1215</v>
      </c>
      <c r="D101" s="211" t="s">
        <v>1218</v>
      </c>
      <c r="E101" s="208" t="s">
        <v>1181</v>
      </c>
      <c r="F101" s="208" t="s">
        <v>1657</v>
      </c>
      <c r="G101" s="212" t="s">
        <v>721</v>
      </c>
      <c r="H101" s="212" t="s">
        <v>2115</v>
      </c>
      <c r="I101" s="212" t="s">
        <v>149</v>
      </c>
      <c r="J101" s="212" t="s">
        <v>176</v>
      </c>
      <c r="K101" s="223" t="s">
        <v>336</v>
      </c>
      <c r="L101" s="213" t="s">
        <v>1244</v>
      </c>
    </row>
    <row r="102" spans="1:12" ht="27">
      <c r="A102" s="211" t="str">
        <f t="shared" si="2"/>
        <v>DefinitionsB31</v>
      </c>
      <c r="B102" s="211" t="s">
        <v>1951</v>
      </c>
      <c r="C102" s="211" t="s">
        <v>985</v>
      </c>
      <c r="D102" s="211" t="s">
        <v>1221</v>
      </c>
      <c r="E102" s="208" t="s">
        <v>1182</v>
      </c>
      <c r="F102" s="208" t="s">
        <v>1658</v>
      </c>
      <c r="G102" s="212" t="s">
        <v>722</v>
      </c>
      <c r="H102" s="212" t="s">
        <v>2116</v>
      </c>
      <c r="I102" s="212" t="s">
        <v>150</v>
      </c>
      <c r="J102" s="212" t="s">
        <v>177</v>
      </c>
      <c r="K102" s="223" t="s">
        <v>337</v>
      </c>
      <c r="L102" s="213" t="s">
        <v>1245</v>
      </c>
    </row>
    <row r="103" spans="1:12">
      <c r="A103" s="211" t="str">
        <f t="shared" si="2"/>
        <v>DefinitionsC2</v>
      </c>
      <c r="B103" s="211" t="s">
        <v>1951</v>
      </c>
      <c r="C103" s="211" t="s">
        <v>2003</v>
      </c>
      <c r="D103" s="211" t="s">
        <v>2117</v>
      </c>
      <c r="E103" s="208" t="s">
        <v>1183</v>
      </c>
      <c r="F103" s="208" t="s">
        <v>2137</v>
      </c>
      <c r="G103" s="212" t="s">
        <v>1647</v>
      </c>
      <c r="H103" s="212" t="s">
        <v>2117</v>
      </c>
      <c r="I103" s="212" t="s">
        <v>151</v>
      </c>
      <c r="J103" s="212" t="s">
        <v>2118</v>
      </c>
      <c r="K103" s="223" t="s">
        <v>2434</v>
      </c>
      <c r="L103" s="213" t="s">
        <v>1246</v>
      </c>
    </row>
    <row r="104" spans="1:12">
      <c r="A104" s="211" t="str">
        <f>B104&amp;C104</f>
        <v>DefinitionsC3</v>
      </c>
      <c r="B104" s="211" t="s">
        <v>1951</v>
      </c>
      <c r="C104" s="211" t="s">
        <v>1973</v>
      </c>
      <c r="D104" s="211" t="s">
        <v>2013</v>
      </c>
      <c r="E104" s="208" t="s">
        <v>1184</v>
      </c>
      <c r="F104" s="208" t="s">
        <v>927</v>
      </c>
      <c r="G104" s="212" t="s">
        <v>723</v>
      </c>
      <c r="H104" s="212" t="s">
        <v>633</v>
      </c>
      <c r="I104" s="212" t="s">
        <v>152</v>
      </c>
      <c r="J104" s="212" t="s">
        <v>178</v>
      </c>
      <c r="K104" s="223" t="s">
        <v>338</v>
      </c>
      <c r="L104" s="213" t="s">
        <v>252</v>
      </c>
    </row>
    <row r="105" spans="1:12" ht="114">
      <c r="A105" s="211" t="str">
        <f t="shared" si="2"/>
        <v>DefinitionsC4</v>
      </c>
      <c r="B105" s="211" t="s">
        <v>1951</v>
      </c>
      <c r="C105" s="211" t="s">
        <v>1974</v>
      </c>
      <c r="D105" s="211" t="s">
        <v>2015</v>
      </c>
      <c r="E105" s="208" t="s">
        <v>1185</v>
      </c>
      <c r="F105" s="208" t="s">
        <v>928</v>
      </c>
      <c r="G105" s="212" t="s">
        <v>4471</v>
      </c>
      <c r="H105" s="212" t="s">
        <v>634</v>
      </c>
      <c r="I105" s="212" t="s">
        <v>153</v>
      </c>
      <c r="J105" s="212" t="s">
        <v>2736</v>
      </c>
      <c r="K105" s="223" t="s">
        <v>339</v>
      </c>
      <c r="L105" s="213" t="s">
        <v>253</v>
      </c>
    </row>
    <row r="106" spans="1:12" ht="280.5">
      <c r="A106" s="211" t="str">
        <f t="shared" si="2"/>
        <v>DefinitionsC5</v>
      </c>
      <c r="B106" s="211" t="s">
        <v>1951</v>
      </c>
      <c r="C106" s="211" t="s">
        <v>1975</v>
      </c>
      <c r="D106" s="228" t="s">
        <v>2994</v>
      </c>
      <c r="E106" s="228" t="s">
        <v>2995</v>
      </c>
      <c r="F106" s="244" t="s">
        <v>2996</v>
      </c>
      <c r="G106" s="228" t="s">
        <v>4472</v>
      </c>
      <c r="H106" s="228" t="s">
        <v>3091</v>
      </c>
      <c r="I106" s="228" t="s">
        <v>3092</v>
      </c>
      <c r="J106" s="228" t="s">
        <v>3093</v>
      </c>
      <c r="K106" s="228" t="s">
        <v>3094</v>
      </c>
      <c r="L106" s="228" t="s">
        <v>3095</v>
      </c>
    </row>
    <row r="107" spans="1:12" ht="142.5">
      <c r="A107" s="211" t="str">
        <f t="shared" si="2"/>
        <v>DefinitionsC6</v>
      </c>
      <c r="B107" s="211" t="s">
        <v>1951</v>
      </c>
      <c r="C107" s="211" t="s">
        <v>1976</v>
      </c>
      <c r="D107" s="211" t="s">
        <v>2018</v>
      </c>
      <c r="E107" s="208" t="s">
        <v>1186</v>
      </c>
      <c r="F107" s="208" t="s">
        <v>929</v>
      </c>
      <c r="G107" s="212" t="s">
        <v>724</v>
      </c>
      <c r="H107" s="212" t="s">
        <v>453</v>
      </c>
      <c r="I107" s="212" t="s">
        <v>154</v>
      </c>
      <c r="J107" s="212" t="s">
        <v>2737</v>
      </c>
      <c r="K107" s="223" t="s">
        <v>575</v>
      </c>
      <c r="L107" s="213" t="s">
        <v>1247</v>
      </c>
    </row>
    <row r="108" spans="1:12" ht="384.75">
      <c r="A108" s="211" t="str">
        <f>B108&amp;C108</f>
        <v>DefinitionsC7</v>
      </c>
      <c r="B108" s="211" t="s">
        <v>1951</v>
      </c>
      <c r="C108" s="211" t="s">
        <v>1977</v>
      </c>
      <c r="D108" s="211" t="s">
        <v>2020</v>
      </c>
      <c r="E108" s="208" t="s">
        <v>1187</v>
      </c>
      <c r="F108" s="208" t="s">
        <v>930</v>
      </c>
      <c r="G108" s="212" t="s">
        <v>725</v>
      </c>
      <c r="H108" s="208" t="s">
        <v>454</v>
      </c>
      <c r="I108" s="212" t="s">
        <v>155</v>
      </c>
      <c r="J108" s="212" t="s">
        <v>2738</v>
      </c>
      <c r="K108" s="223" t="s">
        <v>576</v>
      </c>
      <c r="L108" s="213" t="s">
        <v>254</v>
      </c>
    </row>
    <row r="109" spans="1:12" ht="242.25">
      <c r="A109" s="211" t="str">
        <f t="shared" si="2"/>
        <v>DefinitionsC8</v>
      </c>
      <c r="B109" s="211" t="s">
        <v>1951</v>
      </c>
      <c r="C109" s="211" t="s">
        <v>1978</v>
      </c>
      <c r="D109" s="211" t="s">
        <v>2425</v>
      </c>
      <c r="E109" s="208" t="s">
        <v>1188</v>
      </c>
      <c r="F109" s="208" t="s">
        <v>931</v>
      </c>
      <c r="G109" s="212" t="s">
        <v>726</v>
      </c>
      <c r="H109" s="212" t="s">
        <v>455</v>
      </c>
      <c r="I109" s="212" t="s">
        <v>156</v>
      </c>
      <c r="J109" s="212" t="s">
        <v>2772</v>
      </c>
      <c r="K109" s="223" t="s">
        <v>577</v>
      </c>
      <c r="L109" s="213" t="s">
        <v>1248</v>
      </c>
    </row>
    <row r="110" spans="1:12" ht="171">
      <c r="A110" s="211" t="str">
        <f>B110&amp;C110</f>
        <v>DefinitionsC9</v>
      </c>
      <c r="B110" s="211" t="s">
        <v>1951</v>
      </c>
      <c r="C110" s="211" t="s">
        <v>1979</v>
      </c>
      <c r="D110" s="211" t="s">
        <v>2022</v>
      </c>
      <c r="E110" s="208" t="s">
        <v>1189</v>
      </c>
      <c r="F110" s="208" t="s">
        <v>932</v>
      </c>
      <c r="G110" s="212" t="s">
        <v>727</v>
      </c>
      <c r="H110" s="215" t="s">
        <v>456</v>
      </c>
      <c r="I110" s="212" t="s">
        <v>157</v>
      </c>
      <c r="J110" s="212" t="s">
        <v>2773</v>
      </c>
      <c r="K110" s="223" t="s">
        <v>578</v>
      </c>
      <c r="L110" s="213" t="s">
        <v>255</v>
      </c>
    </row>
    <row r="111" spans="1:12" ht="213.75">
      <c r="A111" s="211" t="str">
        <f t="shared" si="2"/>
        <v>DefinitionsC10</v>
      </c>
      <c r="B111" s="211" t="s">
        <v>1951</v>
      </c>
      <c r="C111" s="211" t="s">
        <v>1980</v>
      </c>
      <c r="D111" s="211" t="s">
        <v>2024</v>
      </c>
      <c r="E111" s="208" t="s">
        <v>1190</v>
      </c>
      <c r="F111" s="208" t="s">
        <v>933</v>
      </c>
      <c r="G111" s="212" t="s">
        <v>728</v>
      </c>
      <c r="H111" s="212" t="s">
        <v>457</v>
      </c>
      <c r="I111" s="212" t="s">
        <v>158</v>
      </c>
      <c r="J111" s="212" t="s">
        <v>2774</v>
      </c>
      <c r="K111" s="223" t="s">
        <v>579</v>
      </c>
      <c r="L111" s="213" t="s">
        <v>256</v>
      </c>
    </row>
    <row r="112" spans="1:12" ht="99.75">
      <c r="A112" s="211" t="str">
        <f t="shared" si="2"/>
        <v>DefinitionsC11</v>
      </c>
      <c r="B112" s="211" t="s">
        <v>1951</v>
      </c>
      <c r="C112" s="211" t="s">
        <v>1981</v>
      </c>
      <c r="D112" s="211" t="s">
        <v>1946</v>
      </c>
      <c r="E112" s="208" t="s">
        <v>1191</v>
      </c>
      <c r="F112" s="208" t="s">
        <v>934</v>
      </c>
      <c r="G112" s="212" t="s">
        <v>2119</v>
      </c>
      <c r="H112" s="212" t="s">
        <v>458</v>
      </c>
      <c r="I112" s="212" t="s">
        <v>159</v>
      </c>
      <c r="J112" s="212" t="s">
        <v>2120</v>
      </c>
      <c r="K112" s="223" t="s">
        <v>580</v>
      </c>
      <c r="L112" s="213" t="s">
        <v>1249</v>
      </c>
    </row>
    <row r="113" spans="1:12">
      <c r="A113" s="211" t="str">
        <f t="shared" si="2"/>
        <v>DefinitionsC12</v>
      </c>
      <c r="B113" s="211" t="s">
        <v>1951</v>
      </c>
      <c r="C113" s="211" t="s">
        <v>1982</v>
      </c>
      <c r="D113" s="211" t="s">
        <v>2561</v>
      </c>
      <c r="E113" s="212" t="s">
        <v>1642</v>
      </c>
      <c r="F113" s="208" t="s">
        <v>2138</v>
      </c>
      <c r="G113" s="212" t="s">
        <v>2121</v>
      </c>
      <c r="H113" s="212" t="s">
        <v>2122</v>
      </c>
      <c r="I113" s="212" t="s">
        <v>2123</v>
      </c>
      <c r="J113" s="212" t="s">
        <v>2124</v>
      </c>
      <c r="K113" s="223" t="s">
        <v>581</v>
      </c>
      <c r="L113" s="213" t="s">
        <v>1250</v>
      </c>
    </row>
    <row r="114" spans="1:12" ht="156.75">
      <c r="A114" s="211" t="str">
        <f t="shared" si="2"/>
        <v>DefinitionsC13</v>
      </c>
      <c r="B114" s="211" t="s">
        <v>1951</v>
      </c>
      <c r="C114" s="211" t="s">
        <v>1983</v>
      </c>
      <c r="D114" s="211" t="s">
        <v>2026</v>
      </c>
      <c r="E114" s="208" t="s">
        <v>1192</v>
      </c>
      <c r="F114" s="208" t="s">
        <v>935</v>
      </c>
      <c r="G114" s="212" t="s">
        <v>729</v>
      </c>
      <c r="H114" s="216" t="s">
        <v>459</v>
      </c>
      <c r="I114" s="212" t="s">
        <v>160</v>
      </c>
      <c r="J114" s="212" t="s">
        <v>2775</v>
      </c>
      <c r="K114" s="223" t="s">
        <v>582</v>
      </c>
      <c r="L114" s="213" t="s">
        <v>1251</v>
      </c>
    </row>
    <row r="115" spans="1:12" ht="42.75">
      <c r="A115" s="211" t="str">
        <f t="shared" si="2"/>
        <v>DefinitionsC14</v>
      </c>
      <c r="B115" s="211" t="s">
        <v>1951</v>
      </c>
      <c r="C115" s="211" t="s">
        <v>1984</v>
      </c>
      <c r="D115" s="211" t="s">
        <v>2027</v>
      </c>
      <c r="E115" s="212" t="s">
        <v>2125</v>
      </c>
      <c r="F115" s="208" t="s">
        <v>2029</v>
      </c>
      <c r="G115" s="212" t="s">
        <v>2028</v>
      </c>
      <c r="H115" s="212" t="s">
        <v>2027</v>
      </c>
      <c r="I115" s="212" t="s">
        <v>161</v>
      </c>
      <c r="J115" s="212" t="s">
        <v>2027</v>
      </c>
      <c r="K115" s="223" t="s">
        <v>583</v>
      </c>
      <c r="L115" s="213" t="s">
        <v>2027</v>
      </c>
    </row>
    <row r="116" spans="1:12" ht="42.75">
      <c r="A116" s="211" t="str">
        <f t="shared" si="2"/>
        <v>DefinitionsC15</v>
      </c>
      <c r="B116" s="211" t="s">
        <v>1951</v>
      </c>
      <c r="C116" s="211" t="s">
        <v>1985</v>
      </c>
      <c r="D116" s="211" t="s">
        <v>1636</v>
      </c>
      <c r="E116" s="212" t="s">
        <v>2126</v>
      </c>
      <c r="F116" s="208" t="s">
        <v>2139</v>
      </c>
      <c r="G116" s="212" t="s">
        <v>1648</v>
      </c>
      <c r="H116" s="212" t="s">
        <v>1636</v>
      </c>
      <c r="I116" s="212" t="s">
        <v>162</v>
      </c>
      <c r="J116" s="212" t="s">
        <v>1636</v>
      </c>
      <c r="K116" s="223" t="s">
        <v>2030</v>
      </c>
      <c r="L116" s="213" t="s">
        <v>1636</v>
      </c>
    </row>
    <row r="117" spans="1:12" ht="142.5">
      <c r="A117" s="211" t="str">
        <f t="shared" si="2"/>
        <v>DefinitionsC16</v>
      </c>
      <c r="B117" s="211" t="s">
        <v>1951</v>
      </c>
      <c r="C117" s="211" t="s">
        <v>1986</v>
      </c>
      <c r="D117" s="211" t="s">
        <v>2031</v>
      </c>
      <c r="E117" s="208" t="s">
        <v>1193</v>
      </c>
      <c r="F117" s="208" t="s">
        <v>936</v>
      </c>
      <c r="G117" s="212" t="s">
        <v>1062</v>
      </c>
      <c r="H117" s="212" t="s">
        <v>460</v>
      </c>
      <c r="I117" s="212" t="s">
        <v>163</v>
      </c>
      <c r="J117" s="212" t="s">
        <v>2739</v>
      </c>
      <c r="K117" s="223" t="s">
        <v>584</v>
      </c>
      <c r="L117" s="213" t="s">
        <v>257</v>
      </c>
    </row>
    <row r="118" spans="1:12" ht="213.75">
      <c r="A118" s="211" t="str">
        <f t="shared" ref="A118:A123" si="4">B118&amp;C118</f>
        <v>DefinitionsC17</v>
      </c>
      <c r="B118" s="211" t="s">
        <v>1951</v>
      </c>
      <c r="C118" s="211" t="s">
        <v>1987</v>
      </c>
      <c r="D118" s="212" t="s">
        <v>3833</v>
      </c>
      <c r="E118" s="208" t="s">
        <v>1194</v>
      </c>
      <c r="F118" s="208" t="s">
        <v>4380</v>
      </c>
      <c r="G118" s="212" t="s">
        <v>4473</v>
      </c>
      <c r="H118" s="212" t="s">
        <v>2923</v>
      </c>
      <c r="I118" s="212" t="s">
        <v>164</v>
      </c>
      <c r="J118" s="212" t="s">
        <v>2740</v>
      </c>
      <c r="K118" s="223" t="s">
        <v>585</v>
      </c>
      <c r="L118" s="213" t="s">
        <v>258</v>
      </c>
    </row>
    <row r="119" spans="1:12" ht="409.5">
      <c r="A119" s="211" t="str">
        <f t="shared" si="4"/>
        <v>DefinitionsC18</v>
      </c>
      <c r="B119" s="211" t="s">
        <v>1951</v>
      </c>
      <c r="C119" s="211" t="s">
        <v>1988</v>
      </c>
      <c r="D119" s="211" t="s">
        <v>2033</v>
      </c>
      <c r="E119" s="208" t="s">
        <v>796</v>
      </c>
      <c r="F119" s="208" t="s">
        <v>4374</v>
      </c>
      <c r="G119" s="212" t="s">
        <v>1063</v>
      </c>
      <c r="H119" s="216" t="s">
        <v>461</v>
      </c>
      <c r="I119" s="212" t="s">
        <v>340</v>
      </c>
      <c r="J119" s="212" t="s">
        <v>2741</v>
      </c>
      <c r="K119" s="223" t="s">
        <v>586</v>
      </c>
      <c r="L119" s="213" t="s">
        <v>259</v>
      </c>
    </row>
    <row r="120" spans="1:12" ht="327.75">
      <c r="A120" s="211" t="str">
        <f t="shared" si="4"/>
        <v>DefinitionsC19</v>
      </c>
      <c r="B120" s="211" t="s">
        <v>1951</v>
      </c>
      <c r="C120" s="211" t="s">
        <v>1989</v>
      </c>
      <c r="D120" s="211" t="s">
        <v>2036</v>
      </c>
      <c r="E120" s="208" t="s">
        <v>797</v>
      </c>
      <c r="F120" s="210" t="s">
        <v>937</v>
      </c>
      <c r="G120" s="212" t="s">
        <v>1064</v>
      </c>
      <c r="H120" s="212" t="s">
        <v>462</v>
      </c>
      <c r="I120" s="212" t="s">
        <v>341</v>
      </c>
      <c r="J120" s="212" t="s">
        <v>2742</v>
      </c>
      <c r="K120" s="223" t="s">
        <v>587</v>
      </c>
      <c r="L120" s="213" t="s">
        <v>260</v>
      </c>
    </row>
    <row r="121" spans="1:12" ht="156.75">
      <c r="A121" s="211" t="str">
        <f t="shared" si="4"/>
        <v>DefinitionsC20</v>
      </c>
      <c r="B121" s="211" t="s">
        <v>1951</v>
      </c>
      <c r="C121" s="211" t="s">
        <v>1990</v>
      </c>
      <c r="D121" s="211" t="s">
        <v>2038</v>
      </c>
      <c r="E121" s="208" t="s">
        <v>798</v>
      </c>
      <c r="F121" s="210" t="s">
        <v>938</v>
      </c>
      <c r="G121" s="212" t="s">
        <v>1065</v>
      </c>
      <c r="H121" s="212" t="s">
        <v>463</v>
      </c>
      <c r="I121" s="212" t="s">
        <v>342</v>
      </c>
      <c r="J121" s="212" t="s">
        <v>2743</v>
      </c>
      <c r="K121" s="223" t="s">
        <v>588</v>
      </c>
      <c r="L121" s="213" t="s">
        <v>261</v>
      </c>
    </row>
    <row r="122" spans="1:12" ht="358.5">
      <c r="A122" s="211" t="str">
        <f t="shared" si="4"/>
        <v>DefinitionsC21</v>
      </c>
      <c r="B122" s="211" t="s">
        <v>1951</v>
      </c>
      <c r="C122" s="211" t="s">
        <v>1991</v>
      </c>
      <c r="D122" s="211" t="s">
        <v>2040</v>
      </c>
      <c r="E122" s="208" t="s">
        <v>799</v>
      </c>
      <c r="F122" s="210" t="s">
        <v>635</v>
      </c>
      <c r="G122" s="212" t="s">
        <v>1066</v>
      </c>
      <c r="H122" s="215" t="s">
        <v>2950</v>
      </c>
      <c r="I122" s="212" t="s">
        <v>343</v>
      </c>
      <c r="J122" s="212" t="s">
        <v>2744</v>
      </c>
      <c r="K122" s="223" t="s">
        <v>589</v>
      </c>
      <c r="L122" s="213" t="s">
        <v>262</v>
      </c>
    </row>
    <row r="123" spans="1:12" ht="327.75">
      <c r="A123" s="211" t="str">
        <f t="shared" si="4"/>
        <v>DefinitionsC22</v>
      </c>
      <c r="B123" s="211" t="s">
        <v>1951</v>
      </c>
      <c r="C123" s="211" t="s">
        <v>1992</v>
      </c>
      <c r="D123" s="211" t="s">
        <v>1195</v>
      </c>
      <c r="E123" s="208" t="s">
        <v>800</v>
      </c>
      <c r="F123" s="210" t="s">
        <v>636</v>
      </c>
      <c r="G123" s="212" t="s">
        <v>1067</v>
      </c>
      <c r="H123" s="215" t="s">
        <v>464</v>
      </c>
      <c r="I123" s="212" t="s">
        <v>344</v>
      </c>
      <c r="J123" s="212" t="s">
        <v>2745</v>
      </c>
      <c r="K123" s="223" t="s">
        <v>590</v>
      </c>
      <c r="L123" s="213" t="s">
        <v>263</v>
      </c>
    </row>
    <row r="124" spans="1:12" ht="28.5">
      <c r="A124" s="211" t="str">
        <f t="shared" si="2"/>
        <v>DefinitionsC23</v>
      </c>
      <c r="B124" s="211" t="s">
        <v>1951</v>
      </c>
      <c r="C124" s="211" t="s">
        <v>1993</v>
      </c>
      <c r="D124" s="211" t="s">
        <v>1197</v>
      </c>
      <c r="E124" s="212" t="s">
        <v>1643</v>
      </c>
      <c r="F124" s="208" t="s">
        <v>2140</v>
      </c>
      <c r="G124" s="212" t="s">
        <v>1596</v>
      </c>
      <c r="H124" s="212" t="s">
        <v>1597</v>
      </c>
      <c r="I124" s="212" t="s">
        <v>345</v>
      </c>
      <c r="J124" s="212" t="s">
        <v>1598</v>
      </c>
      <c r="K124" s="223" t="s">
        <v>591</v>
      </c>
      <c r="L124" s="213" t="s">
        <v>1252</v>
      </c>
    </row>
    <row r="125" spans="1:12" ht="99.75">
      <c r="A125" s="211" t="str">
        <f t="shared" si="2"/>
        <v>DefinitionsC24</v>
      </c>
      <c r="B125" s="211" t="s">
        <v>1951</v>
      </c>
      <c r="C125" s="211" t="s">
        <v>1198</v>
      </c>
      <c r="D125" s="211" t="s">
        <v>1948</v>
      </c>
      <c r="E125" s="208" t="s">
        <v>801</v>
      </c>
      <c r="F125" s="208" t="s">
        <v>1599</v>
      </c>
      <c r="G125" s="212" t="s">
        <v>1600</v>
      </c>
      <c r="H125" s="212" t="s">
        <v>465</v>
      </c>
      <c r="I125" s="212" t="s">
        <v>346</v>
      </c>
      <c r="J125" s="212" t="s">
        <v>1601</v>
      </c>
      <c r="K125" s="223" t="s">
        <v>592</v>
      </c>
      <c r="L125" s="213" t="s">
        <v>1253</v>
      </c>
    </row>
    <row r="126" spans="1:12" ht="213.75">
      <c r="A126" s="211" t="str">
        <f t="shared" si="2"/>
        <v>DefinitionsC25</v>
      </c>
      <c r="B126" s="211" t="s">
        <v>1951</v>
      </c>
      <c r="C126" s="211" t="s">
        <v>1199</v>
      </c>
      <c r="D126" s="211" t="s">
        <v>1203</v>
      </c>
      <c r="E126" s="208" t="s">
        <v>802</v>
      </c>
      <c r="F126" s="208" t="s">
        <v>637</v>
      </c>
      <c r="G126" s="212" t="s">
        <v>1068</v>
      </c>
      <c r="H126" s="212" t="s">
        <v>2951</v>
      </c>
      <c r="I126" s="212" t="s">
        <v>347</v>
      </c>
      <c r="J126" s="212" t="s">
        <v>2746</v>
      </c>
      <c r="K126" s="223" t="s">
        <v>593</v>
      </c>
      <c r="L126" s="213" t="s">
        <v>264</v>
      </c>
    </row>
    <row r="127" spans="1:12" ht="28.5">
      <c r="A127" s="211" t="str">
        <f t="shared" si="2"/>
        <v>DefinitionsC26</v>
      </c>
      <c r="B127" s="211" t="s">
        <v>1951</v>
      </c>
      <c r="C127" s="211" t="s">
        <v>1202</v>
      </c>
      <c r="D127" s="211" t="s">
        <v>1206</v>
      </c>
      <c r="E127" s="208" t="s">
        <v>803</v>
      </c>
      <c r="F127" s="208" t="s">
        <v>638</v>
      </c>
      <c r="G127" s="212" t="s">
        <v>2127</v>
      </c>
      <c r="H127" s="212" t="s">
        <v>1206</v>
      </c>
      <c r="I127" s="212" t="s">
        <v>348</v>
      </c>
      <c r="J127" s="212" t="s">
        <v>1206</v>
      </c>
      <c r="K127" s="223" t="s">
        <v>1206</v>
      </c>
      <c r="L127" s="213" t="s">
        <v>1206</v>
      </c>
    </row>
    <row r="128" spans="1:12" ht="189">
      <c r="A128" s="211" t="str">
        <f t="shared" si="2"/>
        <v>DefinitionsC27</v>
      </c>
      <c r="B128" s="211" t="s">
        <v>1951</v>
      </c>
      <c r="C128" s="211" t="s">
        <v>1205</v>
      </c>
      <c r="D128" s="211" t="s">
        <v>1209</v>
      </c>
      <c r="E128" s="208" t="s">
        <v>804</v>
      </c>
      <c r="F128" s="208" t="s">
        <v>639</v>
      </c>
      <c r="G128" s="212" t="s">
        <v>1069</v>
      </c>
      <c r="H128" s="212" t="s">
        <v>2924</v>
      </c>
      <c r="I128" s="212" t="s">
        <v>349</v>
      </c>
      <c r="J128" s="212" t="s">
        <v>2776</v>
      </c>
      <c r="K128" s="223" t="s">
        <v>594</v>
      </c>
      <c r="L128" s="213" t="s">
        <v>265</v>
      </c>
    </row>
    <row r="129" spans="1:16" ht="114">
      <c r="A129" s="211" t="str">
        <f>B129&amp;C129</f>
        <v>DefinitionsC28</v>
      </c>
      <c r="B129" s="211" t="s">
        <v>1951</v>
      </c>
      <c r="C129" s="211" t="s">
        <v>1208</v>
      </c>
      <c r="D129" s="211" t="s">
        <v>1213</v>
      </c>
      <c r="E129" s="208" t="s">
        <v>805</v>
      </c>
      <c r="F129" s="208" t="s">
        <v>640</v>
      </c>
      <c r="G129" s="212" t="s">
        <v>1070</v>
      </c>
      <c r="H129" s="212" t="s">
        <v>770</v>
      </c>
      <c r="I129" s="212" t="s">
        <v>350</v>
      </c>
      <c r="J129" s="212" t="s">
        <v>2777</v>
      </c>
      <c r="K129" s="223" t="s">
        <v>595</v>
      </c>
      <c r="L129" s="213" t="s">
        <v>266</v>
      </c>
    </row>
    <row r="130" spans="1:16" ht="237">
      <c r="A130" s="211" t="str">
        <f t="shared" si="2"/>
        <v>DefinitionsC29</v>
      </c>
      <c r="B130" s="211" t="s">
        <v>1951</v>
      </c>
      <c r="C130" s="211" t="s">
        <v>1211</v>
      </c>
      <c r="D130" s="211" t="s">
        <v>1217</v>
      </c>
      <c r="E130" s="208" t="s">
        <v>806</v>
      </c>
      <c r="F130" s="208" t="s">
        <v>4474</v>
      </c>
      <c r="G130" s="212" t="s">
        <v>1071</v>
      </c>
      <c r="H130" s="212" t="s">
        <v>2925</v>
      </c>
      <c r="I130" s="212" t="s">
        <v>351</v>
      </c>
      <c r="J130" s="212" t="s">
        <v>2747</v>
      </c>
      <c r="K130" s="223" t="s">
        <v>596</v>
      </c>
      <c r="L130" s="213" t="s">
        <v>267</v>
      </c>
    </row>
    <row r="131" spans="1:16" ht="270.75">
      <c r="A131" s="211" t="str">
        <f t="shared" si="2"/>
        <v>DefinitionsC30</v>
      </c>
      <c r="B131" s="211" t="s">
        <v>1951</v>
      </c>
      <c r="C131" s="211" t="s">
        <v>1216</v>
      </c>
      <c r="D131" s="211" t="s">
        <v>1220</v>
      </c>
      <c r="E131" s="233" t="s">
        <v>4476</v>
      </c>
      <c r="F131" s="234" t="s">
        <v>4475</v>
      </c>
      <c r="G131" s="212" t="s">
        <v>1072</v>
      </c>
      <c r="H131" s="208" t="s">
        <v>466</v>
      </c>
      <c r="I131" s="212" t="s">
        <v>352</v>
      </c>
      <c r="J131" s="212" t="s">
        <v>2748</v>
      </c>
      <c r="K131" s="223" t="s">
        <v>597</v>
      </c>
      <c r="L131" s="213" t="s">
        <v>268</v>
      </c>
    </row>
    <row r="132" spans="1:16" ht="256.5">
      <c r="A132" s="211" t="str">
        <f t="shared" si="2"/>
        <v>DefinitionsC31</v>
      </c>
      <c r="B132" s="211" t="s">
        <v>1951</v>
      </c>
      <c r="C132" s="211" t="s">
        <v>1219</v>
      </c>
      <c r="D132" s="211" t="s">
        <v>845</v>
      </c>
      <c r="E132" s="208" t="s">
        <v>807</v>
      </c>
      <c r="F132" s="208" t="s">
        <v>4477</v>
      </c>
      <c r="G132" s="212" t="s">
        <v>1073</v>
      </c>
      <c r="H132" s="208" t="s">
        <v>467</v>
      </c>
      <c r="I132" s="212" t="s">
        <v>353</v>
      </c>
      <c r="J132" s="212" t="s">
        <v>2778</v>
      </c>
      <c r="K132" s="223" t="s">
        <v>598</v>
      </c>
      <c r="L132" s="213" t="s">
        <v>269</v>
      </c>
    </row>
    <row r="133" spans="1:16" ht="28.5">
      <c r="A133" s="211" t="str">
        <f t="shared" si="2"/>
        <v>DeclarationD2</v>
      </c>
      <c r="B133" s="211" t="s">
        <v>1994</v>
      </c>
      <c r="C133" s="211" t="s">
        <v>2004</v>
      </c>
      <c r="D133" s="211" t="s">
        <v>846</v>
      </c>
      <c r="E133" s="212" t="s">
        <v>846</v>
      </c>
      <c r="F133" s="208" t="s">
        <v>846</v>
      </c>
      <c r="G133" s="212" t="s">
        <v>846</v>
      </c>
      <c r="H133" s="212" t="s">
        <v>846</v>
      </c>
      <c r="I133" s="212" t="s">
        <v>846</v>
      </c>
      <c r="J133" s="212" t="s">
        <v>846</v>
      </c>
      <c r="K133" s="212" t="s">
        <v>846</v>
      </c>
      <c r="L133" s="213" t="s">
        <v>846</v>
      </c>
    </row>
    <row r="134" spans="1:16" s="257" customFormat="1" ht="28.5">
      <c r="A134" s="211" t="str">
        <f t="shared" si="2"/>
        <v>DeclarationF3</v>
      </c>
      <c r="B134" s="211" t="s">
        <v>1994</v>
      </c>
      <c r="C134" s="211" t="s">
        <v>3827</v>
      </c>
      <c r="D134" s="211" t="s">
        <v>3828</v>
      </c>
      <c r="E134" s="211" t="s">
        <v>3845</v>
      </c>
      <c r="F134" s="211" t="s">
        <v>3846</v>
      </c>
      <c r="G134" s="211" t="s">
        <v>3847</v>
      </c>
      <c r="H134" s="211" t="s">
        <v>3848</v>
      </c>
      <c r="I134" s="211" t="s">
        <v>3849</v>
      </c>
      <c r="J134" s="211" t="s">
        <v>3850</v>
      </c>
      <c r="K134" s="211" t="s">
        <v>3851</v>
      </c>
      <c r="L134" s="211" t="s">
        <v>3852</v>
      </c>
    </row>
    <row r="135" spans="1:16" s="257" customFormat="1" ht="28.5">
      <c r="A135" s="211" t="str">
        <f t="shared" si="2"/>
        <v>DeclarationI3</v>
      </c>
      <c r="B135" s="211" t="s">
        <v>1994</v>
      </c>
      <c r="C135" s="211" t="s">
        <v>3829</v>
      </c>
      <c r="D135" s="211" t="s">
        <v>3830</v>
      </c>
      <c r="E135" s="211" t="s">
        <v>3853</v>
      </c>
      <c r="F135" s="211" t="s">
        <v>3854</v>
      </c>
      <c r="G135" s="211" t="s">
        <v>3855</v>
      </c>
      <c r="H135" s="211" t="s">
        <v>3856</v>
      </c>
      <c r="I135" s="211" t="s">
        <v>3857</v>
      </c>
      <c r="J135" s="211" t="s">
        <v>3858</v>
      </c>
      <c r="K135" s="211" t="s">
        <v>3859</v>
      </c>
      <c r="L135" s="211" t="s">
        <v>3860</v>
      </c>
    </row>
    <row r="136" spans="1:16" s="257" customFormat="1">
      <c r="A136" s="211" t="str">
        <f t="shared" si="2"/>
        <v>DeclarationI4</v>
      </c>
      <c r="B136" s="211" t="s">
        <v>1994</v>
      </c>
      <c r="C136" s="211" t="s">
        <v>2660</v>
      </c>
      <c r="D136" s="211" t="s">
        <v>1936</v>
      </c>
      <c r="E136" s="211" t="s">
        <v>3861</v>
      </c>
      <c r="F136" s="211" t="s">
        <v>3862</v>
      </c>
      <c r="G136" s="211" t="s">
        <v>3863</v>
      </c>
      <c r="H136" s="211" t="s">
        <v>3864</v>
      </c>
      <c r="I136" s="211" t="s">
        <v>3865</v>
      </c>
      <c r="J136" s="211" t="s">
        <v>3866</v>
      </c>
      <c r="K136" s="211" t="s">
        <v>3867</v>
      </c>
      <c r="L136" s="211" t="s">
        <v>3868</v>
      </c>
    </row>
    <row r="137" spans="1:16" ht="57">
      <c r="A137" s="211" t="str">
        <f t="shared" si="2"/>
        <v>DeclarationB4</v>
      </c>
      <c r="B137" s="211" t="s">
        <v>1994</v>
      </c>
      <c r="C137" s="211" t="s">
        <v>1953</v>
      </c>
      <c r="D137" s="211" t="s">
        <v>1609</v>
      </c>
      <c r="E137" s="212" t="s">
        <v>808</v>
      </c>
      <c r="F137" s="208" t="s">
        <v>2141</v>
      </c>
      <c r="G137" s="212" t="s">
        <v>1649</v>
      </c>
      <c r="H137" s="212" t="s">
        <v>730</v>
      </c>
      <c r="I137" s="212" t="s">
        <v>354</v>
      </c>
      <c r="J137" s="212" t="s">
        <v>2749</v>
      </c>
      <c r="K137" s="223" t="s">
        <v>599</v>
      </c>
      <c r="L137" s="213" t="s">
        <v>947</v>
      </c>
    </row>
    <row r="138" spans="1:16" ht="99.75">
      <c r="A138" s="211" t="str">
        <f t="shared" si="2"/>
        <v>DeclarationB6</v>
      </c>
      <c r="B138" s="211" t="s">
        <v>1994</v>
      </c>
      <c r="C138" s="211" t="s">
        <v>1955</v>
      </c>
      <c r="D138" s="211" t="s">
        <v>1610</v>
      </c>
      <c r="E138" s="212" t="s">
        <v>2926</v>
      </c>
      <c r="F138" s="208" t="s">
        <v>2144</v>
      </c>
      <c r="G138" s="212" t="s">
        <v>2128</v>
      </c>
      <c r="H138" s="212" t="s">
        <v>731</v>
      </c>
      <c r="I138" s="212" t="s">
        <v>355</v>
      </c>
      <c r="J138" s="212" t="s">
        <v>4441</v>
      </c>
      <c r="K138" s="223" t="s">
        <v>600</v>
      </c>
      <c r="L138" s="213" t="s">
        <v>947</v>
      </c>
    </row>
    <row r="139" spans="1:16" ht="85.5">
      <c r="A139" s="211" t="str">
        <f t="shared" si="2"/>
        <v>DeclarationB7</v>
      </c>
      <c r="B139" s="211" t="s">
        <v>1994</v>
      </c>
      <c r="C139" s="211" t="s">
        <v>1956</v>
      </c>
      <c r="D139" s="211" t="s">
        <v>2067</v>
      </c>
      <c r="E139" s="212" t="s">
        <v>1910</v>
      </c>
      <c r="F139" s="208" t="s">
        <v>1911</v>
      </c>
      <c r="G139" s="212" t="s">
        <v>1912</v>
      </c>
      <c r="H139" s="212" t="s">
        <v>732</v>
      </c>
      <c r="I139" s="212" t="s">
        <v>356</v>
      </c>
      <c r="J139" s="212" t="s">
        <v>2593</v>
      </c>
      <c r="K139" s="223" t="s">
        <v>601</v>
      </c>
      <c r="L139" s="213" t="s">
        <v>948</v>
      </c>
    </row>
    <row r="140" spans="1:16" ht="17.25">
      <c r="A140" s="211" t="str">
        <f t="shared" si="2"/>
        <v>DeclarationB8</v>
      </c>
      <c r="B140" s="211" t="s">
        <v>1994</v>
      </c>
      <c r="C140" s="211" t="s">
        <v>1957</v>
      </c>
      <c r="D140" s="211" t="s">
        <v>1606</v>
      </c>
      <c r="E140" s="212" t="s">
        <v>2927</v>
      </c>
      <c r="F140" s="208" t="s">
        <v>2145</v>
      </c>
      <c r="G140" s="212" t="s">
        <v>2129</v>
      </c>
      <c r="H140" s="212" t="s">
        <v>1650</v>
      </c>
      <c r="I140" s="212" t="s">
        <v>357</v>
      </c>
      <c r="J140" s="212" t="s">
        <v>1651</v>
      </c>
      <c r="K140" s="223" t="s">
        <v>602</v>
      </c>
      <c r="L140" s="213" t="s">
        <v>949</v>
      </c>
    </row>
    <row r="141" spans="1:16" ht="17.25">
      <c r="A141" s="211" t="str">
        <f t="shared" si="2"/>
        <v>DeclarationB9</v>
      </c>
      <c r="B141" s="211" t="s">
        <v>1994</v>
      </c>
      <c r="C141" s="211" t="s">
        <v>1958</v>
      </c>
      <c r="D141" s="211" t="s">
        <v>1008</v>
      </c>
      <c r="E141" s="208" t="s">
        <v>515</v>
      </c>
      <c r="F141" s="208" t="s">
        <v>641</v>
      </c>
      <c r="G141" s="212" t="s">
        <v>1074</v>
      </c>
      <c r="H141" s="212" t="s">
        <v>1652</v>
      </c>
      <c r="I141" s="212" t="s">
        <v>358</v>
      </c>
      <c r="J141" s="212" t="s">
        <v>4442</v>
      </c>
      <c r="K141" s="223" t="s">
        <v>603</v>
      </c>
      <c r="L141" s="213" t="s">
        <v>950</v>
      </c>
    </row>
    <row r="142" spans="1:16" ht="28.5">
      <c r="A142" s="225" t="str">
        <f t="shared" si="2"/>
        <v>DeclarationB10</v>
      </c>
      <c r="B142" s="211" t="s">
        <v>1994</v>
      </c>
      <c r="C142" s="211" t="s">
        <v>1025</v>
      </c>
      <c r="D142" s="211" t="s">
        <v>1022</v>
      </c>
      <c r="E142" s="212" t="s">
        <v>809</v>
      </c>
      <c r="F142" s="208" t="s">
        <v>642</v>
      </c>
      <c r="G142" s="212" t="s">
        <v>1075</v>
      </c>
      <c r="H142" s="212" t="s">
        <v>1026</v>
      </c>
      <c r="I142" s="212" t="s">
        <v>359</v>
      </c>
      <c r="J142" s="212" t="s">
        <v>4443</v>
      </c>
      <c r="K142" s="223" t="s">
        <v>604</v>
      </c>
      <c r="L142" s="213" t="s">
        <v>1029</v>
      </c>
      <c r="P142" s="55"/>
    </row>
    <row r="143" spans="1:16" ht="28.5">
      <c r="A143" s="225" t="str">
        <f>B143&amp;C143</f>
        <v>DeclarationB10A</v>
      </c>
      <c r="B143" s="211" t="s">
        <v>1994</v>
      </c>
      <c r="C143" s="211" t="s">
        <v>2928</v>
      </c>
      <c r="D143" s="211" t="s">
        <v>1022</v>
      </c>
      <c r="E143" s="212" t="s">
        <v>809</v>
      </c>
      <c r="F143" s="208" t="s">
        <v>642</v>
      </c>
      <c r="G143" s="212" t="s">
        <v>1075</v>
      </c>
      <c r="H143" s="212" t="s">
        <v>1026</v>
      </c>
      <c r="I143" s="212" t="s">
        <v>359</v>
      </c>
      <c r="J143" s="212" t="s">
        <v>4443</v>
      </c>
      <c r="K143" s="223" t="s">
        <v>604</v>
      </c>
      <c r="L143" s="213" t="s">
        <v>1029</v>
      </c>
      <c r="P143" s="55"/>
    </row>
    <row r="144" spans="1:16" ht="28.5">
      <c r="A144" s="225" t="str">
        <f>B144&amp;C144</f>
        <v>DeclarationB10C</v>
      </c>
      <c r="B144" s="211" t="s">
        <v>1994</v>
      </c>
      <c r="C144" s="211" t="s">
        <v>2929</v>
      </c>
      <c r="D144" s="211" t="s">
        <v>1023</v>
      </c>
      <c r="E144" s="212" t="s">
        <v>2930</v>
      </c>
      <c r="F144" s="208" t="s">
        <v>643</v>
      </c>
      <c r="G144" s="212" t="s">
        <v>1076</v>
      </c>
      <c r="H144" s="212" t="s">
        <v>1027</v>
      </c>
      <c r="I144" s="212" t="s">
        <v>360</v>
      </c>
      <c r="J144" s="212" t="s">
        <v>4444</v>
      </c>
      <c r="K144" s="223" t="s">
        <v>605</v>
      </c>
      <c r="L144" s="213" t="s">
        <v>1030</v>
      </c>
      <c r="P144" s="55"/>
    </row>
    <row r="145" spans="1:16" ht="42.75">
      <c r="A145" s="225" t="str">
        <f>B145&amp;C145</f>
        <v>DeclarationB10B</v>
      </c>
      <c r="B145" s="211" t="s">
        <v>1994</v>
      </c>
      <c r="C145" s="211" t="s">
        <v>2931</v>
      </c>
      <c r="D145" s="211" t="s">
        <v>1024</v>
      </c>
      <c r="E145" s="208" t="s">
        <v>810</v>
      </c>
      <c r="F145" s="208" t="s">
        <v>552</v>
      </c>
      <c r="G145" s="212" t="s">
        <v>1077</v>
      </c>
      <c r="H145" s="212" t="s">
        <v>733</v>
      </c>
      <c r="I145" s="212" t="s">
        <v>361</v>
      </c>
      <c r="J145" s="212" t="s">
        <v>1028</v>
      </c>
      <c r="K145" s="223" t="s">
        <v>606</v>
      </c>
      <c r="L145" s="213" t="s">
        <v>1031</v>
      </c>
      <c r="P145" s="55"/>
    </row>
    <row r="146" spans="1:16" s="257" customFormat="1" ht="42.75">
      <c r="A146" s="211" t="str">
        <f>B146&amp;C146</f>
        <v>DeclarationD11</v>
      </c>
      <c r="B146" s="211" t="s">
        <v>1994</v>
      </c>
      <c r="C146" s="211" t="s">
        <v>3315</v>
      </c>
      <c r="D146" s="211" t="s">
        <v>3314</v>
      </c>
      <c r="E146" s="211" t="s">
        <v>3869</v>
      </c>
      <c r="F146" s="211" t="s">
        <v>3870</v>
      </c>
      <c r="G146" s="211" t="s">
        <v>3871</v>
      </c>
      <c r="H146" s="211" t="s">
        <v>3872</v>
      </c>
      <c r="I146" s="211" t="s">
        <v>3873</v>
      </c>
      <c r="J146" s="211" t="s">
        <v>3874</v>
      </c>
      <c r="K146" s="211" t="s">
        <v>3875</v>
      </c>
      <c r="L146" s="211" t="s">
        <v>3876</v>
      </c>
      <c r="P146" s="258"/>
    </row>
    <row r="147" spans="1:16" ht="42.75">
      <c r="A147" s="211" t="str">
        <f t="shared" si="2"/>
        <v>DeclarationB12</v>
      </c>
      <c r="B147" s="211" t="s">
        <v>1994</v>
      </c>
      <c r="C147" s="211" t="s">
        <v>1961</v>
      </c>
      <c r="D147" s="211" t="s">
        <v>969</v>
      </c>
      <c r="E147" s="208" t="s">
        <v>811</v>
      </c>
      <c r="F147" s="208" t="s">
        <v>2146</v>
      </c>
      <c r="G147" s="212" t="s">
        <v>2130</v>
      </c>
      <c r="H147" s="212" t="s">
        <v>734</v>
      </c>
      <c r="I147" s="212" t="s">
        <v>362</v>
      </c>
      <c r="J147" s="211" t="s">
        <v>4445</v>
      </c>
      <c r="K147" s="223" t="s">
        <v>607</v>
      </c>
      <c r="L147" s="213" t="s">
        <v>951</v>
      </c>
    </row>
    <row r="148" spans="1:16" ht="28.5">
      <c r="A148" s="211" t="str">
        <f t="shared" ref="A148:A157" si="5">B148&amp;C148</f>
        <v>DeclarationB13</v>
      </c>
      <c r="B148" s="211" t="s">
        <v>1994</v>
      </c>
      <c r="C148" s="211" t="s">
        <v>1962</v>
      </c>
      <c r="D148" s="211" t="s">
        <v>970</v>
      </c>
      <c r="E148" s="208" t="s">
        <v>812</v>
      </c>
      <c r="F148" s="208" t="s">
        <v>644</v>
      </c>
      <c r="G148" s="212" t="s">
        <v>1078</v>
      </c>
      <c r="H148" s="212" t="s">
        <v>735</v>
      </c>
      <c r="I148" s="212" t="s">
        <v>363</v>
      </c>
      <c r="J148" s="211" t="s">
        <v>4446</v>
      </c>
      <c r="K148" s="223" t="s">
        <v>608</v>
      </c>
      <c r="L148" s="213" t="s">
        <v>95</v>
      </c>
    </row>
    <row r="149" spans="1:16" ht="28.5">
      <c r="A149" s="211" t="str">
        <f t="shared" si="5"/>
        <v>DeclarationB14</v>
      </c>
      <c r="B149" s="211" t="s">
        <v>1994</v>
      </c>
      <c r="C149" s="211" t="s">
        <v>1963</v>
      </c>
      <c r="D149" s="211" t="s">
        <v>1603</v>
      </c>
      <c r="E149" s="208" t="s">
        <v>813</v>
      </c>
      <c r="F149" s="208" t="s">
        <v>2147</v>
      </c>
      <c r="G149" s="212" t="s">
        <v>2131</v>
      </c>
      <c r="H149" s="212" t="s">
        <v>1653</v>
      </c>
      <c r="I149" s="212" t="s">
        <v>364</v>
      </c>
      <c r="J149" s="212" t="s">
        <v>1653</v>
      </c>
      <c r="K149" s="223" t="s">
        <v>609</v>
      </c>
      <c r="L149" s="213" t="s">
        <v>952</v>
      </c>
    </row>
    <row r="150" spans="1:16" ht="28.5">
      <c r="A150" s="211" t="str">
        <f t="shared" si="5"/>
        <v>DeclarationB15</v>
      </c>
      <c r="B150" s="211" t="s">
        <v>1994</v>
      </c>
      <c r="C150" s="211" t="s">
        <v>1964</v>
      </c>
      <c r="D150" s="211" t="s">
        <v>971</v>
      </c>
      <c r="E150" s="212" t="s">
        <v>2932</v>
      </c>
      <c r="F150" s="208" t="s">
        <v>645</v>
      </c>
      <c r="G150" s="212" t="s">
        <v>1654</v>
      </c>
      <c r="H150" s="212" t="s">
        <v>736</v>
      </c>
      <c r="I150" s="212" t="s">
        <v>365</v>
      </c>
      <c r="J150" s="211" t="s">
        <v>4447</v>
      </c>
      <c r="K150" s="223" t="s">
        <v>610</v>
      </c>
      <c r="L150" s="213" t="s">
        <v>270</v>
      </c>
    </row>
    <row r="151" spans="1:16" ht="28.5">
      <c r="A151" s="211" t="str">
        <f t="shared" si="5"/>
        <v>DeclarationB16</v>
      </c>
      <c r="B151" s="211" t="s">
        <v>1994</v>
      </c>
      <c r="C151" s="211" t="s">
        <v>1965</v>
      </c>
      <c r="D151" s="211" t="s">
        <v>972</v>
      </c>
      <c r="E151" s="212" t="s">
        <v>2933</v>
      </c>
      <c r="F151" s="208" t="s">
        <v>646</v>
      </c>
      <c r="G151" s="212" t="s">
        <v>2132</v>
      </c>
      <c r="H151" s="212" t="s">
        <v>737</v>
      </c>
      <c r="I151" s="212" t="s">
        <v>366</v>
      </c>
      <c r="J151" s="211" t="s">
        <v>4448</v>
      </c>
      <c r="K151" s="223" t="s">
        <v>611</v>
      </c>
      <c r="L151" s="213" t="s">
        <v>271</v>
      </c>
    </row>
    <row r="152" spans="1:16" ht="28.5">
      <c r="A152" s="211" t="str">
        <f t="shared" si="5"/>
        <v>DeclarationB17</v>
      </c>
      <c r="B152" s="211" t="s">
        <v>1994</v>
      </c>
      <c r="C152" s="211" t="s">
        <v>1966</v>
      </c>
      <c r="D152" s="211" t="s">
        <v>973</v>
      </c>
      <c r="E152" s="212" t="s">
        <v>2934</v>
      </c>
      <c r="F152" s="208" t="s">
        <v>647</v>
      </c>
      <c r="G152" s="212" t="s">
        <v>1079</v>
      </c>
      <c r="H152" s="212" t="s">
        <v>738</v>
      </c>
      <c r="I152" s="212" t="s">
        <v>367</v>
      </c>
      <c r="J152" s="211" t="s">
        <v>4449</v>
      </c>
      <c r="K152" s="223" t="s">
        <v>612</v>
      </c>
      <c r="L152" s="213" t="s">
        <v>272</v>
      </c>
    </row>
    <row r="153" spans="1:16" ht="28.5">
      <c r="A153" s="211" t="str">
        <f t="shared" si="5"/>
        <v>DeclarationB18</v>
      </c>
      <c r="B153" s="211" t="s">
        <v>1994</v>
      </c>
      <c r="C153" s="211" t="s">
        <v>1967</v>
      </c>
      <c r="D153" s="211" t="s">
        <v>1012</v>
      </c>
      <c r="E153" s="212" t="s">
        <v>2935</v>
      </c>
      <c r="F153" s="208" t="s">
        <v>2005</v>
      </c>
      <c r="G153" s="212" t="s">
        <v>1080</v>
      </c>
      <c r="H153" s="212" t="s">
        <v>206</v>
      </c>
      <c r="I153" s="212" t="s">
        <v>368</v>
      </c>
      <c r="J153" s="212" t="s">
        <v>2783</v>
      </c>
      <c r="K153" s="223" t="s">
        <v>613</v>
      </c>
      <c r="L153" s="213" t="s">
        <v>273</v>
      </c>
    </row>
    <row r="154" spans="1:16" ht="28.5">
      <c r="A154" s="211" t="str">
        <f t="shared" si="5"/>
        <v>DeclarationB19</v>
      </c>
      <c r="B154" s="211" t="s">
        <v>1994</v>
      </c>
      <c r="C154" s="211" t="s">
        <v>1968</v>
      </c>
      <c r="D154" s="211" t="s">
        <v>1013</v>
      </c>
      <c r="E154" s="212" t="s">
        <v>2936</v>
      </c>
      <c r="F154" s="208" t="s">
        <v>2006</v>
      </c>
      <c r="G154" s="212" t="s">
        <v>1081</v>
      </c>
      <c r="H154" s="212" t="s">
        <v>1286</v>
      </c>
      <c r="I154" s="212" t="s">
        <v>369</v>
      </c>
      <c r="J154" s="211" t="s">
        <v>4450</v>
      </c>
      <c r="K154" s="223" t="s">
        <v>614</v>
      </c>
      <c r="L154" s="213" t="s">
        <v>274</v>
      </c>
    </row>
    <row r="155" spans="1:16" ht="28.5">
      <c r="A155" s="211" t="str">
        <f t="shared" si="5"/>
        <v>DeclarationB20</v>
      </c>
      <c r="B155" s="211" t="s">
        <v>1994</v>
      </c>
      <c r="C155" s="211" t="s">
        <v>1969</v>
      </c>
      <c r="D155" s="211" t="s">
        <v>1014</v>
      </c>
      <c r="E155" s="212" t="s">
        <v>2937</v>
      </c>
      <c r="F155" s="208" t="s">
        <v>2007</v>
      </c>
      <c r="G155" s="212" t="s">
        <v>1082</v>
      </c>
      <c r="H155" s="212" t="s">
        <v>739</v>
      </c>
      <c r="I155" s="212" t="s">
        <v>370</v>
      </c>
      <c r="J155" s="211" t="s">
        <v>4451</v>
      </c>
      <c r="K155" s="223" t="s">
        <v>615</v>
      </c>
      <c r="L155" s="213" t="s">
        <v>275</v>
      </c>
    </row>
    <row r="156" spans="1:16" ht="28.5">
      <c r="A156" s="211" t="str">
        <f t="shared" si="5"/>
        <v>DeclarationB21</v>
      </c>
      <c r="B156" s="211" t="s">
        <v>1994</v>
      </c>
      <c r="C156" s="211" t="s">
        <v>1970</v>
      </c>
      <c r="D156" s="211" t="s">
        <v>1015</v>
      </c>
      <c r="E156" s="212" t="s">
        <v>2938</v>
      </c>
      <c r="F156" s="208" t="s">
        <v>648</v>
      </c>
      <c r="G156" s="212" t="s">
        <v>1083</v>
      </c>
      <c r="H156" s="212" t="s">
        <v>740</v>
      </c>
      <c r="I156" s="212" t="s">
        <v>371</v>
      </c>
      <c r="J156" s="211" t="s">
        <v>4452</v>
      </c>
      <c r="K156" s="223" t="s">
        <v>616</v>
      </c>
      <c r="L156" s="213" t="s">
        <v>276</v>
      </c>
    </row>
    <row r="157" spans="1:16" ht="28.5">
      <c r="A157" s="211" t="str">
        <f t="shared" si="5"/>
        <v>DeclarationB22</v>
      </c>
      <c r="B157" s="211" t="s">
        <v>1994</v>
      </c>
      <c r="C157" s="211" t="s">
        <v>1971</v>
      </c>
      <c r="D157" s="211" t="s">
        <v>974</v>
      </c>
      <c r="E157" s="212" t="s">
        <v>2939</v>
      </c>
      <c r="F157" s="208" t="s">
        <v>2148</v>
      </c>
      <c r="G157" s="212" t="s">
        <v>1084</v>
      </c>
      <c r="H157" s="212" t="s">
        <v>741</v>
      </c>
      <c r="I157" s="212" t="s">
        <v>372</v>
      </c>
      <c r="J157" s="212" t="s">
        <v>2784</v>
      </c>
      <c r="K157" s="223" t="s">
        <v>617</v>
      </c>
      <c r="L157" s="213" t="s">
        <v>277</v>
      </c>
    </row>
    <row r="158" spans="1:16" ht="42.75">
      <c r="A158" s="211" t="str">
        <f t="shared" si="2"/>
        <v>DeclarationB24</v>
      </c>
      <c r="B158" s="211" t="s">
        <v>1994</v>
      </c>
      <c r="C158" s="211" t="s">
        <v>2002</v>
      </c>
      <c r="D158" s="211" t="s">
        <v>2952</v>
      </c>
      <c r="E158" s="208" t="s">
        <v>814</v>
      </c>
      <c r="F158" s="208" t="s">
        <v>649</v>
      </c>
      <c r="G158" s="212" t="s">
        <v>1085</v>
      </c>
      <c r="H158" s="212" t="s">
        <v>742</v>
      </c>
      <c r="I158" s="212" t="s">
        <v>373</v>
      </c>
      <c r="J158" s="211" t="s">
        <v>4453</v>
      </c>
      <c r="K158" s="223" t="s">
        <v>618</v>
      </c>
      <c r="L158" s="213" t="s">
        <v>953</v>
      </c>
    </row>
    <row r="159" spans="1:16" ht="28.5">
      <c r="A159" s="211" t="str">
        <f>B159&amp;C159</f>
        <v>DeclarationB25</v>
      </c>
      <c r="B159" s="211" t="s">
        <v>1994</v>
      </c>
      <c r="C159" s="211" t="s">
        <v>984</v>
      </c>
      <c r="D159" s="228" t="s">
        <v>2997</v>
      </c>
      <c r="E159" s="228" t="s">
        <v>3096</v>
      </c>
      <c r="F159" s="244" t="s">
        <v>4376</v>
      </c>
      <c r="G159" s="228" t="s">
        <v>3097</v>
      </c>
      <c r="H159" s="228" t="s">
        <v>3098</v>
      </c>
      <c r="I159" s="228" t="s">
        <v>3099</v>
      </c>
      <c r="J159" s="228" t="s">
        <v>3100</v>
      </c>
      <c r="K159" s="228" t="s">
        <v>3101</v>
      </c>
      <c r="L159" s="228" t="s">
        <v>3102</v>
      </c>
    </row>
    <row r="160" spans="1:16" ht="63.75">
      <c r="A160" s="211" t="str">
        <f t="shared" si="2"/>
        <v>DeclarationB31</v>
      </c>
      <c r="B160" s="211" t="s">
        <v>1994</v>
      </c>
      <c r="C160" s="211" t="s">
        <v>985</v>
      </c>
      <c r="D160" s="228" t="s">
        <v>2998</v>
      </c>
      <c r="E160" s="228" t="s">
        <v>4513</v>
      </c>
      <c r="F160" s="244" t="s">
        <v>4508</v>
      </c>
      <c r="G160" s="228" t="s">
        <v>3103</v>
      </c>
      <c r="H160" s="228" t="s">
        <v>3104</v>
      </c>
      <c r="I160" s="228" t="s">
        <v>3105</v>
      </c>
      <c r="J160" s="228" t="s">
        <v>3106</v>
      </c>
      <c r="K160" s="228" t="s">
        <v>3107</v>
      </c>
      <c r="L160" s="228" t="s">
        <v>3108</v>
      </c>
    </row>
    <row r="161" spans="1:12" ht="38.25">
      <c r="A161" s="211" t="str">
        <f t="shared" si="2"/>
        <v>DeclarationB37</v>
      </c>
      <c r="B161" s="211" t="s">
        <v>1994</v>
      </c>
      <c r="C161" s="211" t="s">
        <v>986</v>
      </c>
      <c r="D161" s="228" t="s">
        <v>3139</v>
      </c>
      <c r="E161" s="228" t="s">
        <v>4381</v>
      </c>
      <c r="F161" s="244" t="s">
        <v>4375</v>
      </c>
      <c r="G161" s="228" t="s">
        <v>3148</v>
      </c>
      <c r="H161" s="228" t="s">
        <v>3152</v>
      </c>
      <c r="I161" s="228" t="s">
        <v>3157</v>
      </c>
      <c r="J161" s="273" t="s">
        <v>4503</v>
      </c>
      <c r="K161" s="228" t="s">
        <v>3162</v>
      </c>
      <c r="L161" s="228" t="s">
        <v>3167</v>
      </c>
    </row>
    <row r="162" spans="1:12" ht="51">
      <c r="A162" s="211" t="str">
        <f t="shared" si="2"/>
        <v>DeclarationB43</v>
      </c>
      <c r="B162" s="211" t="s">
        <v>1994</v>
      </c>
      <c r="C162" s="211" t="s">
        <v>987</v>
      </c>
      <c r="D162" s="228" t="s">
        <v>3140</v>
      </c>
      <c r="E162" s="228" t="s">
        <v>3144</v>
      </c>
      <c r="F162" s="244" t="s">
        <v>4509</v>
      </c>
      <c r="G162" s="228" t="s">
        <v>3149</v>
      </c>
      <c r="H162" s="228" t="s">
        <v>3153</v>
      </c>
      <c r="I162" s="228" t="s">
        <v>3158</v>
      </c>
      <c r="J162" s="274" t="s">
        <v>4504</v>
      </c>
      <c r="K162" s="228" t="s">
        <v>3163</v>
      </c>
      <c r="L162" s="228" t="s">
        <v>3168</v>
      </c>
    </row>
    <row r="163" spans="1:12" ht="38.25">
      <c r="A163" s="211" t="str">
        <f t="shared" si="2"/>
        <v>DeclarationB49</v>
      </c>
      <c r="B163" s="211" t="s">
        <v>1994</v>
      </c>
      <c r="C163" s="211" t="s">
        <v>988</v>
      </c>
      <c r="D163" s="228" t="s">
        <v>3141</v>
      </c>
      <c r="E163" s="228" t="s">
        <v>3145</v>
      </c>
      <c r="F163" s="244" t="s">
        <v>4510</v>
      </c>
      <c r="G163" s="228" t="s">
        <v>4464</v>
      </c>
      <c r="H163" s="228" t="s">
        <v>3154</v>
      </c>
      <c r="I163" s="228" t="s">
        <v>3159</v>
      </c>
      <c r="J163" s="274" t="s">
        <v>4505</v>
      </c>
      <c r="K163" s="228" t="s">
        <v>3164</v>
      </c>
      <c r="L163" s="228" t="s">
        <v>3169</v>
      </c>
    </row>
    <row r="164" spans="1:12" ht="38.25">
      <c r="A164" s="211" t="str">
        <f t="shared" si="2"/>
        <v>DeclarationB55</v>
      </c>
      <c r="B164" s="211" t="s">
        <v>1994</v>
      </c>
      <c r="C164" s="211" t="s">
        <v>989</v>
      </c>
      <c r="D164" s="228" t="s">
        <v>3142</v>
      </c>
      <c r="E164" s="228" t="s">
        <v>3146</v>
      </c>
      <c r="F164" s="244" t="s">
        <v>4511</v>
      </c>
      <c r="G164" s="228" t="s">
        <v>3150</v>
      </c>
      <c r="H164" s="228" t="s">
        <v>3155</v>
      </c>
      <c r="I164" s="228" t="s">
        <v>3160</v>
      </c>
      <c r="J164" s="274" t="s">
        <v>4506</v>
      </c>
      <c r="K164" s="228" t="s">
        <v>3165</v>
      </c>
      <c r="L164" s="228" t="s">
        <v>3170</v>
      </c>
    </row>
    <row r="165" spans="1:12" ht="51">
      <c r="A165" s="211" t="str">
        <f t="shared" si="2"/>
        <v>DeclarationB61</v>
      </c>
      <c r="B165" s="211" t="s">
        <v>1994</v>
      </c>
      <c r="C165" s="211" t="s">
        <v>2009</v>
      </c>
      <c r="D165" s="228" t="s">
        <v>3143</v>
      </c>
      <c r="E165" s="228" t="s">
        <v>3147</v>
      </c>
      <c r="F165" s="244" t="s">
        <v>4512</v>
      </c>
      <c r="G165" s="228" t="s">
        <v>3151</v>
      </c>
      <c r="H165" s="228" t="s">
        <v>3156</v>
      </c>
      <c r="I165" s="228" t="s">
        <v>3161</v>
      </c>
      <c r="J165" s="274" t="s">
        <v>4507</v>
      </c>
      <c r="K165" s="228" t="s">
        <v>3166</v>
      </c>
      <c r="L165" s="228" t="s">
        <v>3171</v>
      </c>
    </row>
    <row r="166" spans="1:12" ht="28.5">
      <c r="A166" s="211" t="str">
        <f t="shared" si="2"/>
        <v>DeclarationB67</v>
      </c>
      <c r="B166" s="211" t="s">
        <v>1994</v>
      </c>
      <c r="C166" s="211" t="s">
        <v>2599</v>
      </c>
      <c r="D166" s="211" t="s">
        <v>2068</v>
      </c>
      <c r="E166" s="208" t="s">
        <v>815</v>
      </c>
      <c r="F166" s="208" t="s">
        <v>1913</v>
      </c>
      <c r="G166" s="212" t="s">
        <v>1914</v>
      </c>
      <c r="H166" s="212" t="s">
        <v>2582</v>
      </c>
      <c r="I166" s="212" t="s">
        <v>374</v>
      </c>
      <c r="J166" s="212" t="s">
        <v>2594</v>
      </c>
      <c r="K166" s="223" t="s">
        <v>431</v>
      </c>
      <c r="L166" s="213" t="s">
        <v>1270</v>
      </c>
    </row>
    <row r="167" spans="1:12" ht="42.75">
      <c r="A167" s="211" t="str">
        <f t="shared" si="2"/>
        <v>DeclarationB69</v>
      </c>
      <c r="B167" s="211" t="s">
        <v>1994</v>
      </c>
      <c r="C167" s="211" t="s">
        <v>2617</v>
      </c>
      <c r="D167" s="211" t="s">
        <v>3304</v>
      </c>
      <c r="E167" s="208" t="s">
        <v>4455</v>
      </c>
      <c r="F167" s="208" t="s">
        <v>430</v>
      </c>
      <c r="G167" s="212" t="s">
        <v>2008</v>
      </c>
      <c r="H167" s="212" t="s">
        <v>743</v>
      </c>
      <c r="I167" s="212" t="s">
        <v>375</v>
      </c>
      <c r="J167" s="212" t="s">
        <v>4456</v>
      </c>
      <c r="K167" s="223" t="s">
        <v>432</v>
      </c>
      <c r="L167" s="213" t="s">
        <v>278</v>
      </c>
    </row>
    <row r="168" spans="1:12" ht="85.5">
      <c r="A168" s="211" t="str">
        <f t="shared" si="2"/>
        <v>DeclarationB71</v>
      </c>
      <c r="B168" s="211" t="s">
        <v>1994</v>
      </c>
      <c r="C168" s="211" t="s">
        <v>2618</v>
      </c>
      <c r="D168" s="211" t="s">
        <v>3305</v>
      </c>
      <c r="E168" s="208" t="s">
        <v>4454</v>
      </c>
      <c r="F168" s="208" t="s">
        <v>553</v>
      </c>
      <c r="G168" s="212" t="s">
        <v>1086</v>
      </c>
      <c r="H168" s="212" t="s">
        <v>744</v>
      </c>
      <c r="I168" s="212" t="s">
        <v>376</v>
      </c>
      <c r="J168" s="212" t="s">
        <v>4463</v>
      </c>
      <c r="K168" s="223" t="s">
        <v>433</v>
      </c>
      <c r="L168" s="213" t="s">
        <v>279</v>
      </c>
    </row>
    <row r="169" spans="1:12" ht="42.75">
      <c r="A169" s="211" t="str">
        <f t="shared" ref="A169:A188" si="6">B169&amp;C169</f>
        <v>DeclarationB73</v>
      </c>
      <c r="B169" s="211" t="s">
        <v>1994</v>
      </c>
      <c r="C169" s="211" t="s">
        <v>2622</v>
      </c>
      <c r="D169" s="211" t="s">
        <v>3306</v>
      </c>
      <c r="E169" s="208" t="s">
        <v>816</v>
      </c>
      <c r="F169" s="208" t="s">
        <v>554</v>
      </c>
      <c r="G169" s="212" t="s">
        <v>1087</v>
      </c>
      <c r="H169" s="212" t="s">
        <v>745</v>
      </c>
      <c r="I169" s="212" t="s">
        <v>377</v>
      </c>
      <c r="J169" s="212" t="s">
        <v>4457</v>
      </c>
      <c r="K169" s="223" t="s">
        <v>2010</v>
      </c>
      <c r="L169" s="213" t="s">
        <v>2011</v>
      </c>
    </row>
    <row r="170" spans="1:12" ht="63.75">
      <c r="A170" s="211" t="str">
        <f t="shared" si="6"/>
        <v>DeclarationB75</v>
      </c>
      <c r="B170" s="211" t="s">
        <v>1994</v>
      </c>
      <c r="C170" s="211" t="s">
        <v>2623</v>
      </c>
      <c r="D170" s="228" t="s">
        <v>3307</v>
      </c>
      <c r="E170" s="228" t="s">
        <v>3109</v>
      </c>
      <c r="F170" s="244" t="s">
        <v>2999</v>
      </c>
      <c r="G170" s="228" t="s">
        <v>4465</v>
      </c>
      <c r="H170" s="228" t="s">
        <v>3110</v>
      </c>
      <c r="I170" s="228" t="s">
        <v>3111</v>
      </c>
      <c r="J170" s="228" t="s">
        <v>4458</v>
      </c>
      <c r="K170" s="228" t="s">
        <v>3112</v>
      </c>
      <c r="L170" s="228" t="s">
        <v>3113</v>
      </c>
    </row>
    <row r="171" spans="1:12" ht="38.25">
      <c r="A171" s="211" t="str">
        <f t="shared" si="6"/>
        <v>DeclarationB77</v>
      </c>
      <c r="B171" s="211" t="s">
        <v>1994</v>
      </c>
      <c r="C171" s="211" t="s">
        <v>2625</v>
      </c>
      <c r="D171" s="228" t="s">
        <v>3308</v>
      </c>
      <c r="E171" s="229" t="s">
        <v>817</v>
      </c>
      <c r="F171" s="229" t="s">
        <v>555</v>
      </c>
      <c r="G171" s="228" t="s">
        <v>1088</v>
      </c>
      <c r="H171" s="228" t="s">
        <v>746</v>
      </c>
      <c r="I171" s="228" t="s">
        <v>378</v>
      </c>
      <c r="J171" s="228" t="s">
        <v>2790</v>
      </c>
      <c r="K171" s="230" t="s">
        <v>434</v>
      </c>
      <c r="L171" s="231" t="s">
        <v>2616</v>
      </c>
    </row>
    <row r="172" spans="1:12" s="257" customFormat="1" ht="114.75">
      <c r="A172" s="211" t="str">
        <f t="shared" si="6"/>
        <v>DeclarationB79</v>
      </c>
      <c r="B172" s="211" t="s">
        <v>1994</v>
      </c>
      <c r="C172" s="211" t="s">
        <v>991</v>
      </c>
      <c r="D172" s="228" t="s">
        <v>3309</v>
      </c>
      <c r="E172" s="228" t="s">
        <v>3877</v>
      </c>
      <c r="F172" s="244" t="s">
        <v>4377</v>
      </c>
      <c r="G172" s="228" t="s">
        <v>3878</v>
      </c>
      <c r="H172" s="228" t="s">
        <v>3879</v>
      </c>
      <c r="I172" s="228" t="s">
        <v>3880</v>
      </c>
      <c r="J172" s="228" t="s">
        <v>4459</v>
      </c>
      <c r="K172" s="228" t="s">
        <v>3881</v>
      </c>
      <c r="L172" s="228" t="s">
        <v>3882</v>
      </c>
    </row>
    <row r="173" spans="1:12" ht="28.5">
      <c r="A173" s="211" t="str">
        <f t="shared" si="6"/>
        <v>DeclarationB81</v>
      </c>
      <c r="B173" s="211" t="s">
        <v>1994</v>
      </c>
      <c r="C173" s="211" t="s">
        <v>992</v>
      </c>
      <c r="D173" s="211" t="s">
        <v>3310</v>
      </c>
      <c r="E173" s="208" t="s">
        <v>2619</v>
      </c>
      <c r="F173" s="208" t="s">
        <v>650</v>
      </c>
      <c r="G173" s="212" t="s">
        <v>1089</v>
      </c>
      <c r="H173" s="212" t="s">
        <v>2620</v>
      </c>
      <c r="I173" s="212" t="s">
        <v>379</v>
      </c>
      <c r="J173" s="212" t="s">
        <v>4460</v>
      </c>
      <c r="K173" s="223" t="s">
        <v>2621</v>
      </c>
      <c r="L173" s="213" t="s">
        <v>2586</v>
      </c>
    </row>
    <row r="174" spans="1:12" ht="57">
      <c r="A174" s="211" t="str">
        <f t="shared" si="6"/>
        <v>DeclarationB83</v>
      </c>
      <c r="B174" s="211" t="s">
        <v>1994</v>
      </c>
      <c r="C174" s="211" t="s">
        <v>993</v>
      </c>
      <c r="D174" s="211" t="s">
        <v>3311</v>
      </c>
      <c r="E174" s="208" t="s">
        <v>818</v>
      </c>
      <c r="F174" s="208" t="s">
        <v>556</v>
      </c>
      <c r="G174" s="212" t="s">
        <v>1090</v>
      </c>
      <c r="H174" s="212" t="s">
        <v>747</v>
      </c>
      <c r="I174" s="212" t="s">
        <v>380</v>
      </c>
      <c r="J174" s="212" t="s">
        <v>4461</v>
      </c>
      <c r="K174" s="223" t="s">
        <v>435</v>
      </c>
      <c r="L174" s="213" t="s">
        <v>280</v>
      </c>
    </row>
    <row r="175" spans="1:12" ht="28.5">
      <c r="A175" s="211" t="str">
        <f t="shared" si="6"/>
        <v>DeclarationB85</v>
      </c>
      <c r="B175" s="211" t="s">
        <v>1994</v>
      </c>
      <c r="C175" s="211" t="s">
        <v>994</v>
      </c>
      <c r="D175" s="211" t="s">
        <v>3312</v>
      </c>
      <c r="E175" s="208" t="s">
        <v>819</v>
      </c>
      <c r="F175" s="208" t="s">
        <v>651</v>
      </c>
      <c r="G175" s="212" t="s">
        <v>1091</v>
      </c>
      <c r="H175" s="212" t="s">
        <v>2624</v>
      </c>
      <c r="I175" s="212" t="s">
        <v>381</v>
      </c>
      <c r="J175" s="212" t="s">
        <v>4462</v>
      </c>
      <c r="K175" s="223" t="s">
        <v>192</v>
      </c>
      <c r="L175" s="213" t="s">
        <v>2587</v>
      </c>
    </row>
    <row r="176" spans="1:12" ht="42.75">
      <c r="A176" s="211" t="str">
        <f t="shared" si="6"/>
        <v>DeclarationB87</v>
      </c>
      <c r="B176" s="211" t="s">
        <v>1994</v>
      </c>
      <c r="C176" s="211" t="s">
        <v>995</v>
      </c>
      <c r="D176" s="211" t="s">
        <v>3313</v>
      </c>
      <c r="E176" s="208" t="s">
        <v>820</v>
      </c>
      <c r="F176" s="208" t="s">
        <v>652</v>
      </c>
      <c r="G176" s="212" t="s">
        <v>2626</v>
      </c>
      <c r="H176" s="212" t="s">
        <v>2627</v>
      </c>
      <c r="I176" s="212" t="s">
        <v>382</v>
      </c>
      <c r="J176" s="212" t="s">
        <v>2628</v>
      </c>
      <c r="K176" s="223" t="s">
        <v>436</v>
      </c>
      <c r="L176" s="213" t="s">
        <v>2588</v>
      </c>
    </row>
    <row r="177" spans="1:12" ht="28.5">
      <c r="A177" s="211" t="str">
        <f t="shared" si="6"/>
        <v>DeclarationD25</v>
      </c>
      <c r="B177" s="211" t="s">
        <v>1994</v>
      </c>
      <c r="C177" s="211" t="s">
        <v>1040</v>
      </c>
      <c r="D177" s="211" t="s">
        <v>1605</v>
      </c>
      <c r="E177" s="208" t="s">
        <v>1638</v>
      </c>
      <c r="F177" s="208" t="s">
        <v>1638</v>
      </c>
      <c r="G177" s="212" t="s">
        <v>2133</v>
      </c>
      <c r="H177" s="212" t="s">
        <v>2583</v>
      </c>
      <c r="I177" s="212" t="s">
        <v>1915</v>
      </c>
      <c r="J177" s="212" t="s">
        <v>1916</v>
      </c>
      <c r="K177" s="223" t="s">
        <v>1917</v>
      </c>
      <c r="L177" s="213" t="s">
        <v>955</v>
      </c>
    </row>
    <row r="178" spans="1:12" ht="28.5">
      <c r="A178" s="211" t="str">
        <f t="shared" si="6"/>
        <v>DeclarationB68</v>
      </c>
      <c r="B178" s="211" t="s">
        <v>1994</v>
      </c>
      <c r="C178" s="211" t="s">
        <v>990</v>
      </c>
      <c r="D178" s="211" t="s">
        <v>2069</v>
      </c>
      <c r="E178" s="208" t="s">
        <v>1927</v>
      </c>
      <c r="F178" s="208" t="s">
        <v>1928</v>
      </c>
      <c r="G178" s="212" t="s">
        <v>1929</v>
      </c>
      <c r="H178" s="212" t="s">
        <v>2069</v>
      </c>
      <c r="I178" s="212" t="s">
        <v>1930</v>
      </c>
      <c r="J178" s="212" t="s">
        <v>1931</v>
      </c>
      <c r="K178" s="223" t="s">
        <v>1926</v>
      </c>
      <c r="L178" s="213" t="s">
        <v>954</v>
      </c>
    </row>
    <row r="179" spans="1:12" ht="28.5">
      <c r="A179" s="211" t="str">
        <f t="shared" si="6"/>
        <v>DeclarationG25</v>
      </c>
      <c r="B179" s="211" t="s">
        <v>1994</v>
      </c>
      <c r="C179" s="211" t="s">
        <v>1041</v>
      </c>
      <c r="D179" s="211" t="s">
        <v>1604</v>
      </c>
      <c r="E179" s="208" t="s">
        <v>1639</v>
      </c>
      <c r="F179" s="208" t="s">
        <v>2142</v>
      </c>
      <c r="G179" s="212" t="s">
        <v>1918</v>
      </c>
      <c r="H179" s="212" t="s">
        <v>1919</v>
      </c>
      <c r="I179" s="212" t="s">
        <v>1920</v>
      </c>
      <c r="J179" s="212" t="s">
        <v>2051</v>
      </c>
      <c r="K179" s="223" t="s">
        <v>1921</v>
      </c>
      <c r="L179" s="213" t="s">
        <v>956</v>
      </c>
    </row>
    <row r="180" spans="1:12" ht="28.5">
      <c r="A180" s="211" t="str">
        <f t="shared" si="6"/>
        <v>DeclarationB26</v>
      </c>
      <c r="B180" s="211" t="s">
        <v>1994</v>
      </c>
      <c r="C180" s="211" t="s">
        <v>1032</v>
      </c>
      <c r="D180" s="211" t="s">
        <v>2629</v>
      </c>
      <c r="E180" s="208" t="s">
        <v>2789</v>
      </c>
      <c r="F180" s="208" t="s">
        <v>2630</v>
      </c>
      <c r="G180" s="212" t="s">
        <v>2631</v>
      </c>
      <c r="H180" s="212" t="s">
        <v>2632</v>
      </c>
      <c r="I180" s="212" t="s">
        <v>383</v>
      </c>
      <c r="J180" s="212" t="s">
        <v>2633</v>
      </c>
      <c r="K180" s="223" t="s">
        <v>2634</v>
      </c>
      <c r="L180" s="213" t="s">
        <v>2634</v>
      </c>
    </row>
    <row r="181" spans="1:12" ht="28.5">
      <c r="A181" s="211" t="str">
        <f t="shared" si="6"/>
        <v>DeclarationB27</v>
      </c>
      <c r="B181" s="211" t="s">
        <v>1994</v>
      </c>
      <c r="C181" s="211" t="s">
        <v>1033</v>
      </c>
      <c r="D181" s="211" t="s">
        <v>2635</v>
      </c>
      <c r="E181" s="208" t="s">
        <v>2788</v>
      </c>
      <c r="F181" s="208" t="s">
        <v>2636</v>
      </c>
      <c r="G181" s="212" t="s">
        <v>2637</v>
      </c>
      <c r="H181" s="212" t="s">
        <v>2638</v>
      </c>
      <c r="I181" s="212" t="s">
        <v>384</v>
      </c>
      <c r="J181" s="212" t="s">
        <v>2639</v>
      </c>
      <c r="K181" s="223" t="s">
        <v>2640</v>
      </c>
      <c r="L181" s="213" t="s">
        <v>2641</v>
      </c>
    </row>
    <row r="182" spans="1:12" ht="28.5">
      <c r="A182" s="211" t="str">
        <f t="shared" si="6"/>
        <v>DeclarationB28</v>
      </c>
      <c r="B182" s="211" t="s">
        <v>1994</v>
      </c>
      <c r="C182" s="211" t="s">
        <v>1034</v>
      </c>
      <c r="D182" s="211" t="s">
        <v>2642</v>
      </c>
      <c r="E182" s="208" t="s">
        <v>2787</v>
      </c>
      <c r="F182" s="208" t="s">
        <v>2643</v>
      </c>
      <c r="G182" s="212" t="s">
        <v>2644</v>
      </c>
      <c r="H182" s="212" t="s">
        <v>2645</v>
      </c>
      <c r="I182" s="212" t="s">
        <v>385</v>
      </c>
      <c r="J182" s="212" t="s">
        <v>2642</v>
      </c>
      <c r="K182" s="223" t="s">
        <v>2646</v>
      </c>
      <c r="L182" s="213" t="s">
        <v>2646</v>
      </c>
    </row>
    <row r="183" spans="1:12" ht="28.5">
      <c r="A183" s="211" t="str">
        <f t="shared" si="6"/>
        <v>DeclarationB29</v>
      </c>
      <c r="B183" s="211" t="s">
        <v>1994</v>
      </c>
      <c r="C183" s="211" t="s">
        <v>1035</v>
      </c>
      <c r="D183" s="211" t="s">
        <v>2647</v>
      </c>
      <c r="E183" s="208" t="s">
        <v>2786</v>
      </c>
      <c r="F183" s="208" t="s">
        <v>2648</v>
      </c>
      <c r="G183" s="212" t="s">
        <v>2649</v>
      </c>
      <c r="H183" s="212" t="s">
        <v>2650</v>
      </c>
      <c r="I183" s="212" t="s">
        <v>386</v>
      </c>
      <c r="J183" s="212" t="s">
        <v>2651</v>
      </c>
      <c r="K183" s="223" t="s">
        <v>2652</v>
      </c>
      <c r="L183" s="213" t="s">
        <v>2652</v>
      </c>
    </row>
    <row r="184" spans="1:12" ht="28.5">
      <c r="A184" s="211" t="str">
        <f t="shared" si="6"/>
        <v>DeclarationB38</v>
      </c>
      <c r="B184" s="211" t="s">
        <v>1994</v>
      </c>
      <c r="C184" s="211" t="s">
        <v>1036</v>
      </c>
      <c r="D184" s="211" t="s">
        <v>2629</v>
      </c>
      <c r="E184" s="208" t="s">
        <v>2789</v>
      </c>
      <c r="F184" s="208" t="s">
        <v>2630</v>
      </c>
      <c r="G184" s="212" t="s">
        <v>2631</v>
      </c>
      <c r="H184" s="212" t="s">
        <v>2632</v>
      </c>
      <c r="I184" s="212" t="s">
        <v>383</v>
      </c>
      <c r="J184" s="212" t="s">
        <v>2633</v>
      </c>
      <c r="K184" s="223" t="s">
        <v>2634</v>
      </c>
      <c r="L184" s="213" t="s">
        <v>2634</v>
      </c>
    </row>
    <row r="185" spans="1:12" ht="28.5">
      <c r="A185" s="211" t="str">
        <f t="shared" si="6"/>
        <v>DeclarationB39</v>
      </c>
      <c r="B185" s="211" t="s">
        <v>1994</v>
      </c>
      <c r="C185" s="211" t="s">
        <v>1037</v>
      </c>
      <c r="D185" s="211" t="s">
        <v>2635</v>
      </c>
      <c r="E185" s="208" t="s">
        <v>2788</v>
      </c>
      <c r="F185" s="208" t="s">
        <v>2636</v>
      </c>
      <c r="G185" s="212" t="s">
        <v>2637</v>
      </c>
      <c r="H185" s="212" t="s">
        <v>2638</v>
      </c>
      <c r="I185" s="212" t="s">
        <v>384</v>
      </c>
      <c r="J185" s="212" t="s">
        <v>2639</v>
      </c>
      <c r="K185" s="223" t="s">
        <v>2640</v>
      </c>
      <c r="L185" s="213" t="s">
        <v>2641</v>
      </c>
    </row>
    <row r="186" spans="1:12" ht="28.5">
      <c r="A186" s="211" t="str">
        <f t="shared" si="6"/>
        <v>DeclarationB40</v>
      </c>
      <c r="B186" s="211" t="s">
        <v>1994</v>
      </c>
      <c r="C186" s="211" t="s">
        <v>1038</v>
      </c>
      <c r="D186" s="211" t="s">
        <v>2642</v>
      </c>
      <c r="E186" s="208" t="s">
        <v>2787</v>
      </c>
      <c r="F186" s="208" t="s">
        <v>2643</v>
      </c>
      <c r="G186" s="212" t="s">
        <v>2644</v>
      </c>
      <c r="H186" s="212" t="s">
        <v>2645</v>
      </c>
      <c r="I186" s="212" t="s">
        <v>385</v>
      </c>
      <c r="J186" s="212" t="s">
        <v>2642</v>
      </c>
      <c r="K186" s="223" t="s">
        <v>2646</v>
      </c>
      <c r="L186" s="213" t="s">
        <v>2646</v>
      </c>
    </row>
    <row r="187" spans="1:12" ht="28.5">
      <c r="A187" s="211" t="str">
        <f t="shared" si="6"/>
        <v>DeclarationB41</v>
      </c>
      <c r="B187" s="211" t="s">
        <v>1994</v>
      </c>
      <c r="C187" s="211" t="s">
        <v>1039</v>
      </c>
      <c r="D187" s="211" t="s">
        <v>2647</v>
      </c>
      <c r="E187" s="208" t="s">
        <v>2786</v>
      </c>
      <c r="F187" s="208" t="s">
        <v>2648</v>
      </c>
      <c r="G187" s="212" t="s">
        <v>2649</v>
      </c>
      <c r="H187" s="212" t="s">
        <v>2650</v>
      </c>
      <c r="I187" s="212" t="s">
        <v>386</v>
      </c>
      <c r="J187" s="212" t="s">
        <v>2651</v>
      </c>
      <c r="K187" s="223" t="s">
        <v>2652</v>
      </c>
      <c r="L187" s="213" t="s">
        <v>2652</v>
      </c>
    </row>
    <row r="188" spans="1:12">
      <c r="A188" s="211" t="str">
        <f t="shared" si="6"/>
        <v>DeclarationAth</v>
      </c>
      <c r="B188" s="211" t="s">
        <v>1994</v>
      </c>
      <c r="C188" s="211" t="s">
        <v>2653</v>
      </c>
      <c r="D188" s="211" t="s">
        <v>1602</v>
      </c>
      <c r="E188" s="208" t="s">
        <v>821</v>
      </c>
      <c r="F188" s="208" t="s">
        <v>2143</v>
      </c>
      <c r="G188" s="212" t="s">
        <v>1922</v>
      </c>
      <c r="H188" s="212" t="s">
        <v>1923</v>
      </c>
      <c r="I188" s="212" t="s">
        <v>1924</v>
      </c>
      <c r="J188" s="212" t="s">
        <v>2595</v>
      </c>
      <c r="K188" s="223" t="s">
        <v>1925</v>
      </c>
      <c r="L188" s="213" t="s">
        <v>957</v>
      </c>
    </row>
    <row r="189" spans="1:12">
      <c r="D189" s="211" t="s">
        <v>998</v>
      </c>
      <c r="E189" s="208" t="s">
        <v>822</v>
      </c>
      <c r="F189" s="208" t="s">
        <v>653</v>
      </c>
      <c r="G189" s="212" t="s">
        <v>1092</v>
      </c>
      <c r="H189" s="212" t="s">
        <v>748</v>
      </c>
      <c r="I189" s="212" t="s">
        <v>387</v>
      </c>
      <c r="J189" s="212" t="s">
        <v>31</v>
      </c>
      <c r="K189" s="223" t="s">
        <v>437</v>
      </c>
      <c r="L189" s="213" t="s">
        <v>281</v>
      </c>
    </row>
    <row r="190" spans="1:12">
      <c r="D190" s="211" t="s">
        <v>999</v>
      </c>
      <c r="E190" s="208" t="s">
        <v>823</v>
      </c>
      <c r="F190" s="208" t="s">
        <v>654</v>
      </c>
      <c r="G190" s="212" t="s">
        <v>1093</v>
      </c>
      <c r="H190" s="212" t="s">
        <v>999</v>
      </c>
      <c r="I190" s="212" t="s">
        <v>388</v>
      </c>
      <c r="J190" s="212" t="s">
        <v>32</v>
      </c>
      <c r="K190" s="223" t="s">
        <v>999</v>
      </c>
      <c r="L190" s="213" t="s">
        <v>282</v>
      </c>
    </row>
    <row r="191" spans="1:12">
      <c r="D191" s="211" t="s">
        <v>1000</v>
      </c>
      <c r="E191" s="208" t="s">
        <v>824</v>
      </c>
      <c r="F191" s="208" t="s">
        <v>655</v>
      </c>
      <c r="G191" s="212" t="s">
        <v>1094</v>
      </c>
      <c r="H191" s="212" t="s">
        <v>749</v>
      </c>
      <c r="I191" s="212" t="s">
        <v>389</v>
      </c>
      <c r="J191" s="212" t="s">
        <v>33</v>
      </c>
      <c r="K191" s="223" t="s">
        <v>438</v>
      </c>
      <c r="L191" s="213" t="s">
        <v>283</v>
      </c>
    </row>
    <row r="192" spans="1:12">
      <c r="D192" s="211" t="s">
        <v>1001</v>
      </c>
      <c r="E192" s="208" t="s">
        <v>825</v>
      </c>
      <c r="F192" s="208" t="s">
        <v>656</v>
      </c>
      <c r="G192" s="212" t="s">
        <v>1095</v>
      </c>
      <c r="H192" s="212" t="s">
        <v>750</v>
      </c>
      <c r="I192" s="212" t="s">
        <v>390</v>
      </c>
      <c r="J192" s="212" t="s">
        <v>34</v>
      </c>
      <c r="K192" s="223" t="s">
        <v>439</v>
      </c>
      <c r="L192" s="213" t="s">
        <v>284</v>
      </c>
    </row>
    <row r="193" spans="1:12">
      <c r="D193" s="211" t="s">
        <v>1002</v>
      </c>
      <c r="E193" s="208" t="s">
        <v>826</v>
      </c>
      <c r="F193" s="208" t="s">
        <v>657</v>
      </c>
      <c r="G193" s="212" t="s">
        <v>1096</v>
      </c>
      <c r="H193" s="212" t="s">
        <v>751</v>
      </c>
      <c r="I193" s="212" t="s">
        <v>391</v>
      </c>
      <c r="J193" s="212" t="s">
        <v>35</v>
      </c>
      <c r="K193" s="223" t="s">
        <v>440</v>
      </c>
      <c r="L193" s="213" t="s">
        <v>285</v>
      </c>
    </row>
    <row r="194" spans="1:12">
      <c r="D194" s="211" t="s">
        <v>1003</v>
      </c>
      <c r="E194" s="208" t="s">
        <v>827</v>
      </c>
      <c r="F194" s="208" t="s">
        <v>658</v>
      </c>
      <c r="G194" s="212" t="s">
        <v>1097</v>
      </c>
      <c r="H194" s="212" t="s">
        <v>752</v>
      </c>
      <c r="I194" s="212" t="s">
        <v>392</v>
      </c>
      <c r="J194" s="212" t="s">
        <v>36</v>
      </c>
      <c r="K194" s="223" t="s">
        <v>441</v>
      </c>
      <c r="L194" s="213" t="s">
        <v>286</v>
      </c>
    </row>
    <row r="195" spans="1:12">
      <c r="D195" s="211" t="s">
        <v>1004</v>
      </c>
      <c r="E195" s="208" t="s">
        <v>828</v>
      </c>
      <c r="F195" s="208" t="s">
        <v>659</v>
      </c>
      <c r="G195" s="212" t="s">
        <v>1098</v>
      </c>
      <c r="H195" s="212" t="s">
        <v>753</v>
      </c>
      <c r="I195" s="212" t="s">
        <v>393</v>
      </c>
      <c r="J195" s="212" t="s">
        <v>37</v>
      </c>
      <c r="K195" s="223" t="s">
        <v>442</v>
      </c>
      <c r="L195" s="213" t="s">
        <v>287</v>
      </c>
    </row>
    <row r="196" spans="1:12">
      <c r="D196" s="211" t="s">
        <v>1006</v>
      </c>
      <c r="E196" s="208" t="s">
        <v>829</v>
      </c>
      <c r="F196" s="208" t="s">
        <v>660</v>
      </c>
      <c r="G196" s="212" t="s">
        <v>1099</v>
      </c>
      <c r="H196" s="212" t="s">
        <v>754</v>
      </c>
      <c r="I196" s="212" t="s">
        <v>394</v>
      </c>
      <c r="J196" s="212" t="s">
        <v>38</v>
      </c>
      <c r="K196" s="223" t="s">
        <v>443</v>
      </c>
      <c r="L196" s="213" t="s">
        <v>288</v>
      </c>
    </row>
    <row r="197" spans="1:12">
      <c r="D197" s="211" t="s">
        <v>1005</v>
      </c>
      <c r="E197" s="208" t="s">
        <v>830</v>
      </c>
      <c r="F197" s="208" t="s">
        <v>661</v>
      </c>
      <c r="G197" s="212" t="s">
        <v>1100</v>
      </c>
      <c r="H197" s="212" t="s">
        <v>755</v>
      </c>
      <c r="I197" s="212" t="s">
        <v>395</v>
      </c>
      <c r="J197" s="212" t="s">
        <v>39</v>
      </c>
      <c r="K197" s="223" t="s">
        <v>444</v>
      </c>
      <c r="L197" s="213" t="s">
        <v>289</v>
      </c>
    </row>
    <row r="198" spans="1:12" s="257" customFormat="1" ht="357">
      <c r="A198" s="211" t="str">
        <f t="shared" ref="A198:A203" si="7">B198&amp;C198</f>
        <v>Smelter Reference ListA1</v>
      </c>
      <c r="B198" s="211" t="s">
        <v>3000</v>
      </c>
      <c r="C198" s="211" t="s">
        <v>1295</v>
      </c>
      <c r="D198" s="228" t="s">
        <v>3316</v>
      </c>
      <c r="E198" s="228" t="s">
        <v>3883</v>
      </c>
      <c r="F198" s="228" t="s">
        <v>4378</v>
      </c>
      <c r="G198" s="228" t="s">
        <v>3884</v>
      </c>
      <c r="H198" s="228" t="s">
        <v>3885</v>
      </c>
      <c r="I198" s="228" t="s">
        <v>3886</v>
      </c>
      <c r="J198" s="228" t="s">
        <v>3887</v>
      </c>
      <c r="K198" s="228" t="s">
        <v>3888</v>
      </c>
      <c r="L198" s="228" t="s">
        <v>3889</v>
      </c>
    </row>
    <row r="199" spans="1:12" ht="42.75">
      <c r="A199" s="211" t="str">
        <f t="shared" si="7"/>
        <v>Smelter Reference ListA4</v>
      </c>
      <c r="B199" s="211" t="s">
        <v>3000</v>
      </c>
      <c r="C199" s="211" t="s">
        <v>1298</v>
      </c>
      <c r="D199" s="211" t="s">
        <v>1618</v>
      </c>
      <c r="E199" s="208" t="s">
        <v>833</v>
      </c>
      <c r="F199" s="208" t="s">
        <v>2149</v>
      </c>
      <c r="G199" s="212" t="s">
        <v>2150</v>
      </c>
      <c r="H199" s="212" t="s">
        <v>2654</v>
      </c>
      <c r="I199" s="212" t="s">
        <v>1618</v>
      </c>
      <c r="J199" s="213" t="s">
        <v>1938</v>
      </c>
      <c r="K199" s="223" t="s">
        <v>1618</v>
      </c>
      <c r="L199" s="213" t="s">
        <v>962</v>
      </c>
    </row>
    <row r="200" spans="1:12" ht="42.75">
      <c r="A200" s="211" t="str">
        <f t="shared" si="7"/>
        <v>Smelter Reference ListB4</v>
      </c>
      <c r="B200" s="211" t="s">
        <v>3000</v>
      </c>
      <c r="C200" s="211" t="s">
        <v>1953</v>
      </c>
      <c r="D200" s="211" t="s">
        <v>3000</v>
      </c>
      <c r="E200" s="208" t="s">
        <v>3001</v>
      </c>
      <c r="F200" s="208" t="s">
        <v>3002</v>
      </c>
      <c r="G200" s="212" t="s">
        <v>3003</v>
      </c>
      <c r="H200" s="212" t="s">
        <v>3004</v>
      </c>
      <c r="I200" s="212" t="s">
        <v>3005</v>
      </c>
      <c r="J200" s="213" t="s">
        <v>3006</v>
      </c>
      <c r="K200" s="223" t="s">
        <v>3007</v>
      </c>
      <c r="L200" s="213" t="s">
        <v>963</v>
      </c>
    </row>
    <row r="201" spans="1:12" ht="28.5">
      <c r="A201" s="211" t="str">
        <f t="shared" si="7"/>
        <v>Smelter Reference List</v>
      </c>
      <c r="B201" s="211" t="s">
        <v>3000</v>
      </c>
      <c r="D201" s="211" t="s">
        <v>1892</v>
      </c>
      <c r="E201" s="208" t="s">
        <v>835</v>
      </c>
      <c r="F201" s="208" t="s">
        <v>2498</v>
      </c>
      <c r="G201" s="212" t="s">
        <v>1224</v>
      </c>
      <c r="H201" s="212" t="s">
        <v>758</v>
      </c>
      <c r="I201" s="212" t="s">
        <v>399</v>
      </c>
      <c r="J201" s="213" t="s">
        <v>2495</v>
      </c>
      <c r="K201" s="223" t="s">
        <v>2156</v>
      </c>
      <c r="L201" s="213" t="s">
        <v>1273</v>
      </c>
    </row>
    <row r="202" spans="1:12" ht="42.75">
      <c r="A202" s="211" t="str">
        <f t="shared" si="7"/>
        <v>Smelter Reference ListC4</v>
      </c>
      <c r="B202" s="211" t="s">
        <v>3000</v>
      </c>
      <c r="C202" s="211" t="s">
        <v>1974</v>
      </c>
      <c r="D202" s="211" t="s">
        <v>1891</v>
      </c>
      <c r="E202" s="208" t="s">
        <v>834</v>
      </c>
      <c r="F202" s="208" t="s">
        <v>2497</v>
      </c>
      <c r="G202" s="212" t="s">
        <v>1223</v>
      </c>
      <c r="H202" s="212" t="s">
        <v>757</v>
      </c>
      <c r="I202" s="212" t="s">
        <v>398</v>
      </c>
      <c r="J202" s="213" t="s">
        <v>2494</v>
      </c>
      <c r="K202" s="223" t="s">
        <v>447</v>
      </c>
      <c r="L202" s="213" t="s">
        <v>964</v>
      </c>
    </row>
    <row r="203" spans="1:12" ht="42.75">
      <c r="A203" s="211" t="str">
        <f t="shared" si="7"/>
        <v>Smelter Reference ListD4</v>
      </c>
      <c r="B203" s="211" t="s">
        <v>3000</v>
      </c>
      <c r="C203" s="211" t="s">
        <v>2656</v>
      </c>
      <c r="D203" s="211" t="s">
        <v>1890</v>
      </c>
      <c r="E203" s="208" t="s">
        <v>836</v>
      </c>
      <c r="F203" s="208" t="s">
        <v>1939</v>
      </c>
      <c r="G203" s="212" t="s">
        <v>1940</v>
      </c>
      <c r="H203" s="212" t="s">
        <v>759</v>
      </c>
      <c r="I203" s="212" t="s">
        <v>400</v>
      </c>
      <c r="J203" s="213" t="s">
        <v>2443</v>
      </c>
      <c r="K203" s="223" t="s">
        <v>448</v>
      </c>
      <c r="L203" s="213" t="s">
        <v>1272</v>
      </c>
    </row>
    <row r="204" spans="1:12" ht="28.5">
      <c r="A204" s="211" t="str">
        <f t="shared" ref="A204:A209" si="8">B204&amp;C204</f>
        <v>Smelter Reference List</v>
      </c>
      <c r="B204" s="211" t="s">
        <v>3000</v>
      </c>
      <c r="D204" s="211" t="s">
        <v>1326</v>
      </c>
      <c r="E204" s="208" t="s">
        <v>831</v>
      </c>
      <c r="F204" s="208" t="s">
        <v>677</v>
      </c>
      <c r="G204" s="212" t="s">
        <v>1116</v>
      </c>
      <c r="H204" s="212" t="s">
        <v>207</v>
      </c>
      <c r="I204" s="212" t="s">
        <v>396</v>
      </c>
      <c r="J204" s="213" t="s">
        <v>2750</v>
      </c>
      <c r="K204" s="223" t="s">
        <v>445</v>
      </c>
      <c r="L204" s="213" t="s">
        <v>96</v>
      </c>
    </row>
    <row r="205" spans="1:12" ht="42.75">
      <c r="A205" s="211" t="str">
        <f t="shared" si="8"/>
        <v>Smelter Reference ListE4</v>
      </c>
      <c r="B205" s="211" t="s">
        <v>3000</v>
      </c>
      <c r="C205" s="211" t="s">
        <v>2657</v>
      </c>
      <c r="D205" s="211" t="s">
        <v>1327</v>
      </c>
      <c r="E205" s="208" t="s">
        <v>832</v>
      </c>
      <c r="F205" s="208" t="s">
        <v>678</v>
      </c>
      <c r="G205" s="212" t="s">
        <v>1117</v>
      </c>
      <c r="H205" s="212" t="s">
        <v>208</v>
      </c>
      <c r="I205" s="212" t="s">
        <v>397</v>
      </c>
      <c r="J205" s="213" t="s">
        <v>2751</v>
      </c>
      <c r="K205" s="223" t="s">
        <v>446</v>
      </c>
      <c r="L205" s="213" t="s">
        <v>97</v>
      </c>
    </row>
    <row r="206" spans="1:12" ht="42.75">
      <c r="A206" s="211" t="str">
        <f t="shared" si="8"/>
        <v>Smelter Reference ListF4</v>
      </c>
      <c r="B206" s="211" t="s">
        <v>3000</v>
      </c>
      <c r="C206" s="211" t="s">
        <v>2667</v>
      </c>
      <c r="D206" s="212" t="s">
        <v>976</v>
      </c>
      <c r="E206" s="208" t="s">
        <v>505</v>
      </c>
      <c r="F206" s="208" t="s">
        <v>672</v>
      </c>
      <c r="G206" s="212" t="s">
        <v>1111</v>
      </c>
      <c r="H206" s="212" t="s">
        <v>764</v>
      </c>
      <c r="I206" s="212" t="s">
        <v>415</v>
      </c>
      <c r="J206" s="213" t="s">
        <v>2754</v>
      </c>
      <c r="K206" s="223" t="s">
        <v>187</v>
      </c>
      <c r="L206" s="213" t="s">
        <v>111</v>
      </c>
    </row>
    <row r="207" spans="1:12" ht="42.75">
      <c r="A207" s="211" t="str">
        <f t="shared" si="8"/>
        <v>Smelter Reference ListG4</v>
      </c>
      <c r="B207" s="211" t="s">
        <v>3000</v>
      </c>
      <c r="C207" s="211" t="s">
        <v>2658</v>
      </c>
      <c r="D207" s="211" t="s">
        <v>979</v>
      </c>
      <c r="E207" s="208" t="s">
        <v>2444</v>
      </c>
      <c r="F207" s="208" t="s">
        <v>664</v>
      </c>
      <c r="G207" s="212" t="s">
        <v>1103</v>
      </c>
      <c r="H207" s="212" t="s">
        <v>2445</v>
      </c>
      <c r="I207" s="212" t="s">
        <v>404</v>
      </c>
      <c r="J207" s="213" t="s">
        <v>2054</v>
      </c>
      <c r="K207" s="223" t="s">
        <v>451</v>
      </c>
      <c r="L207" s="217" t="s">
        <v>292</v>
      </c>
    </row>
    <row r="208" spans="1:12" ht="42.75">
      <c r="A208" s="211" t="str">
        <f t="shared" si="8"/>
        <v>Smelter Reference ListH4</v>
      </c>
      <c r="B208" s="211" t="s">
        <v>3000</v>
      </c>
      <c r="C208" s="211" t="s">
        <v>2659</v>
      </c>
      <c r="D208" s="211" t="s">
        <v>980</v>
      </c>
      <c r="E208" s="208" t="s">
        <v>2446</v>
      </c>
      <c r="F208" s="208" t="s">
        <v>665</v>
      </c>
      <c r="G208" s="212" t="s">
        <v>1104</v>
      </c>
      <c r="H208" s="212" t="s">
        <v>2447</v>
      </c>
      <c r="I208" s="212" t="s">
        <v>405</v>
      </c>
      <c r="J208" s="213" t="s">
        <v>2055</v>
      </c>
      <c r="K208" s="223" t="s">
        <v>452</v>
      </c>
      <c r="L208" s="217" t="s">
        <v>293</v>
      </c>
    </row>
    <row r="209" spans="1:12" ht="42.75">
      <c r="A209" s="211" t="str">
        <f t="shared" si="8"/>
        <v>Smelter Reference ListI4</v>
      </c>
      <c r="B209" s="211" t="s">
        <v>3000</v>
      </c>
      <c r="C209" s="211" t="s">
        <v>2660</v>
      </c>
      <c r="D209" s="211" t="s">
        <v>1889</v>
      </c>
      <c r="E209" s="208" t="s">
        <v>2448</v>
      </c>
      <c r="F209" s="208" t="s">
        <v>2449</v>
      </c>
      <c r="G209" s="212" t="s">
        <v>2450</v>
      </c>
      <c r="H209" s="212" t="s">
        <v>2451</v>
      </c>
      <c r="I209" s="212" t="s">
        <v>406</v>
      </c>
      <c r="J209" s="213" t="s">
        <v>2056</v>
      </c>
      <c r="K209" s="223" t="s">
        <v>181</v>
      </c>
      <c r="L209" s="217" t="s">
        <v>1271</v>
      </c>
    </row>
    <row r="210" spans="1:12" ht="17.25">
      <c r="A210" s="211" t="str">
        <f t="shared" ref="A210:A237" si="9">B210&amp;C210</f>
        <v>Smelter ListB4</v>
      </c>
      <c r="B210" s="211" t="s">
        <v>2584</v>
      </c>
      <c r="C210" s="211" t="s">
        <v>1953</v>
      </c>
      <c r="D210" s="211" t="s">
        <v>1607</v>
      </c>
      <c r="E210" s="208" t="s">
        <v>2940</v>
      </c>
      <c r="F210" s="208" t="s">
        <v>1640</v>
      </c>
      <c r="G210" s="212" t="s">
        <v>2134</v>
      </c>
      <c r="H210" s="212" t="s">
        <v>2655</v>
      </c>
      <c r="I210" s="212" t="s">
        <v>2441</v>
      </c>
      <c r="J210" s="213" t="s">
        <v>2440</v>
      </c>
      <c r="K210" s="223" t="s">
        <v>2441</v>
      </c>
      <c r="L210" s="213" t="s">
        <v>958</v>
      </c>
    </row>
    <row r="211" spans="1:12" ht="17.25">
      <c r="A211" s="211" t="str">
        <f t="shared" si="9"/>
        <v>Smelter ListC4</v>
      </c>
      <c r="B211" s="211" t="s">
        <v>2584</v>
      </c>
      <c r="C211" s="211" t="s">
        <v>1974</v>
      </c>
      <c r="D211" s="211" t="s">
        <v>2157</v>
      </c>
      <c r="E211" s="208" t="s">
        <v>2941</v>
      </c>
      <c r="F211" s="208" t="s">
        <v>2158</v>
      </c>
      <c r="G211" s="212" t="s">
        <v>2159</v>
      </c>
      <c r="H211" s="212" t="s">
        <v>2160</v>
      </c>
      <c r="I211" s="212" t="s">
        <v>401</v>
      </c>
      <c r="J211" s="213" t="s">
        <v>2161</v>
      </c>
      <c r="K211" s="223" t="s">
        <v>2162</v>
      </c>
      <c r="L211" s="213" t="s">
        <v>963</v>
      </c>
    </row>
    <row r="212" spans="1:12" ht="17.25">
      <c r="A212" s="211" t="str">
        <f t="shared" si="9"/>
        <v>Smelter ListD4</v>
      </c>
      <c r="B212" s="211" t="s">
        <v>2584</v>
      </c>
      <c r="C212" s="211" t="s">
        <v>2656</v>
      </c>
      <c r="D212" s="211" t="s">
        <v>977</v>
      </c>
      <c r="E212" s="208" t="s">
        <v>2942</v>
      </c>
      <c r="F212" s="208" t="s">
        <v>662</v>
      </c>
      <c r="G212" s="212" t="s">
        <v>1101</v>
      </c>
      <c r="H212" s="212" t="s">
        <v>760</v>
      </c>
      <c r="I212" s="212" t="s">
        <v>402</v>
      </c>
      <c r="J212" s="213" t="s">
        <v>2052</v>
      </c>
      <c r="K212" s="223" t="s">
        <v>449</v>
      </c>
      <c r="L212" s="213" t="s">
        <v>290</v>
      </c>
    </row>
    <row r="213" spans="1:12" ht="17.25">
      <c r="A213" s="211" t="str">
        <f t="shared" si="9"/>
        <v>Smelter ListE4</v>
      </c>
      <c r="B213" s="211" t="s">
        <v>2584</v>
      </c>
      <c r="C213" s="211" t="s">
        <v>2657</v>
      </c>
      <c r="D213" s="211" t="s">
        <v>978</v>
      </c>
      <c r="E213" s="208" t="s">
        <v>2943</v>
      </c>
      <c r="F213" s="208" t="s">
        <v>663</v>
      </c>
      <c r="G213" s="212" t="s">
        <v>1102</v>
      </c>
      <c r="H213" s="212" t="s">
        <v>2442</v>
      </c>
      <c r="I213" s="212" t="s">
        <v>403</v>
      </c>
      <c r="J213" s="213" t="s">
        <v>2053</v>
      </c>
      <c r="K213" s="223" t="s">
        <v>450</v>
      </c>
      <c r="L213" s="213" t="s">
        <v>291</v>
      </c>
    </row>
    <row r="214" spans="1:12" ht="28.5">
      <c r="A214" s="211" t="str">
        <f t="shared" si="9"/>
        <v>Smelter ListH4</v>
      </c>
      <c r="B214" s="211" t="s">
        <v>2584</v>
      </c>
      <c r="C214" s="211" t="s">
        <v>2659</v>
      </c>
      <c r="D214" s="211" t="s">
        <v>979</v>
      </c>
      <c r="E214" s="208" t="s">
        <v>2444</v>
      </c>
      <c r="F214" s="208" t="s">
        <v>664</v>
      </c>
      <c r="G214" s="212" t="s">
        <v>1103</v>
      </c>
      <c r="H214" s="212" t="s">
        <v>2445</v>
      </c>
      <c r="I214" s="212" t="s">
        <v>404</v>
      </c>
      <c r="J214" s="213" t="s">
        <v>2054</v>
      </c>
      <c r="K214" s="223" t="s">
        <v>451</v>
      </c>
      <c r="L214" s="217" t="s">
        <v>292</v>
      </c>
    </row>
    <row r="215" spans="1:12">
      <c r="A215" s="211" t="str">
        <f t="shared" si="9"/>
        <v>Smelter ListI4</v>
      </c>
      <c r="B215" s="211" t="s">
        <v>2584</v>
      </c>
      <c r="C215" s="211" t="s">
        <v>2660</v>
      </c>
      <c r="D215" s="211" t="s">
        <v>980</v>
      </c>
      <c r="E215" s="208" t="s">
        <v>2446</v>
      </c>
      <c r="F215" s="208" t="s">
        <v>665</v>
      </c>
      <c r="G215" s="212" t="s">
        <v>1104</v>
      </c>
      <c r="H215" s="212" t="s">
        <v>2447</v>
      </c>
      <c r="I215" s="212" t="s">
        <v>405</v>
      </c>
      <c r="J215" s="213" t="s">
        <v>2055</v>
      </c>
      <c r="K215" s="223" t="s">
        <v>452</v>
      </c>
      <c r="L215" s="217" t="s">
        <v>293</v>
      </c>
    </row>
    <row r="216" spans="1:12" ht="28.5">
      <c r="A216" s="211" t="str">
        <f t="shared" si="9"/>
        <v>Smelter ListJ4</v>
      </c>
      <c r="B216" s="211" t="s">
        <v>2584</v>
      </c>
      <c r="C216" s="211" t="s">
        <v>2661</v>
      </c>
      <c r="D216" s="211" t="s">
        <v>1889</v>
      </c>
      <c r="E216" s="208" t="s">
        <v>2448</v>
      </c>
      <c r="F216" s="208" t="s">
        <v>2449</v>
      </c>
      <c r="G216" s="212" t="s">
        <v>2450</v>
      </c>
      <c r="H216" s="212" t="s">
        <v>2451</v>
      </c>
      <c r="I216" s="212" t="s">
        <v>406</v>
      </c>
      <c r="J216" s="213" t="s">
        <v>2056</v>
      </c>
      <c r="K216" s="223" t="s">
        <v>181</v>
      </c>
      <c r="L216" s="217" t="s">
        <v>1271</v>
      </c>
    </row>
    <row r="217" spans="1:12">
      <c r="A217" s="211" t="str">
        <f t="shared" si="9"/>
        <v>Smelter ListK4</v>
      </c>
      <c r="B217" s="211" t="s">
        <v>2584</v>
      </c>
      <c r="C217" s="211" t="s">
        <v>2662</v>
      </c>
      <c r="D217" s="211" t="s">
        <v>981</v>
      </c>
      <c r="E217" s="208" t="s">
        <v>837</v>
      </c>
      <c r="F217" s="208" t="s">
        <v>666</v>
      </c>
      <c r="G217" s="212" t="s">
        <v>1105</v>
      </c>
      <c r="H217" s="212" t="s">
        <v>2452</v>
      </c>
      <c r="I217" s="212" t="s">
        <v>407</v>
      </c>
      <c r="J217" s="213" t="s">
        <v>2057</v>
      </c>
      <c r="K217" s="223" t="s">
        <v>2453</v>
      </c>
      <c r="L217" s="217" t="s">
        <v>959</v>
      </c>
    </row>
    <row r="218" spans="1:12">
      <c r="A218" s="211" t="str">
        <f t="shared" si="9"/>
        <v>Smelter ListL4</v>
      </c>
      <c r="B218" s="211" t="s">
        <v>2584</v>
      </c>
      <c r="C218" s="211" t="s">
        <v>2663</v>
      </c>
      <c r="D218" s="211" t="s">
        <v>982</v>
      </c>
      <c r="E218" s="208" t="s">
        <v>838</v>
      </c>
      <c r="F218" s="208" t="s">
        <v>667</v>
      </c>
      <c r="G218" s="212" t="s">
        <v>1106</v>
      </c>
      <c r="H218" s="212" t="s">
        <v>2454</v>
      </c>
      <c r="I218" s="212" t="s">
        <v>408</v>
      </c>
      <c r="J218" s="213" t="s">
        <v>40</v>
      </c>
      <c r="K218" s="223" t="s">
        <v>2455</v>
      </c>
      <c r="L218" s="213" t="s">
        <v>960</v>
      </c>
    </row>
    <row r="219" spans="1:12" ht="28.5">
      <c r="A219" s="211" t="str">
        <f t="shared" si="9"/>
        <v>Smelter ListM4</v>
      </c>
      <c r="B219" s="211" t="s">
        <v>2584</v>
      </c>
      <c r="C219" s="211" t="s">
        <v>2664</v>
      </c>
      <c r="D219" s="211" t="s">
        <v>983</v>
      </c>
      <c r="E219" s="208" t="s">
        <v>839</v>
      </c>
      <c r="F219" s="208" t="s">
        <v>668</v>
      </c>
      <c r="G219" s="212" t="s">
        <v>1107</v>
      </c>
      <c r="H219" s="212" t="s">
        <v>2456</v>
      </c>
      <c r="I219" s="212" t="s">
        <v>409</v>
      </c>
      <c r="J219" s="213" t="s">
        <v>41</v>
      </c>
      <c r="K219" s="223" t="s">
        <v>182</v>
      </c>
      <c r="L219" s="213" t="s">
        <v>294</v>
      </c>
    </row>
    <row r="220" spans="1:12" ht="42.75">
      <c r="A220" s="211" t="str">
        <f t="shared" si="9"/>
        <v>Smelter ListN4</v>
      </c>
      <c r="B220" s="211" t="s">
        <v>2584</v>
      </c>
      <c r="C220" s="211" t="s">
        <v>2665</v>
      </c>
      <c r="D220" s="211" t="s">
        <v>1018</v>
      </c>
      <c r="E220" s="208" t="s">
        <v>840</v>
      </c>
      <c r="F220" s="208" t="s">
        <v>669</v>
      </c>
      <c r="G220" s="212" t="s">
        <v>1108</v>
      </c>
      <c r="H220" s="208" t="s">
        <v>761</v>
      </c>
      <c r="I220" s="212" t="s">
        <v>410</v>
      </c>
      <c r="J220" s="213" t="s">
        <v>2752</v>
      </c>
      <c r="K220" s="223" t="s">
        <v>183</v>
      </c>
      <c r="L220" s="213" t="s">
        <v>295</v>
      </c>
    </row>
    <row r="221" spans="1:12" ht="71.25">
      <c r="A221" s="211" t="str">
        <f t="shared" si="9"/>
        <v>Smelter ListO4</v>
      </c>
      <c r="B221" s="211" t="s">
        <v>2584</v>
      </c>
      <c r="C221" s="211" t="s">
        <v>2666</v>
      </c>
      <c r="D221" s="225" t="s">
        <v>1995</v>
      </c>
      <c r="E221" s="208" t="s">
        <v>841</v>
      </c>
      <c r="F221" s="208" t="s">
        <v>670</v>
      </c>
      <c r="G221" s="212" t="s">
        <v>1109</v>
      </c>
      <c r="H221" s="212" t="s">
        <v>762</v>
      </c>
      <c r="I221" s="212" t="s">
        <v>411</v>
      </c>
      <c r="J221" s="213" t="s">
        <v>2779</v>
      </c>
      <c r="K221" s="223" t="s">
        <v>184</v>
      </c>
      <c r="L221" s="213" t="s">
        <v>296</v>
      </c>
    </row>
    <row r="222" spans="1:12" ht="71.25">
      <c r="A222" s="211" t="str">
        <f t="shared" si="9"/>
        <v>Smelter ListP4</v>
      </c>
      <c r="B222" s="211" t="s">
        <v>2584</v>
      </c>
      <c r="C222" s="211" t="s">
        <v>1007</v>
      </c>
      <c r="D222" s="225" t="s">
        <v>1017</v>
      </c>
      <c r="E222" s="208" t="s">
        <v>842</v>
      </c>
      <c r="F222" s="208" t="s">
        <v>671</v>
      </c>
      <c r="G222" s="212" t="s">
        <v>1110</v>
      </c>
      <c r="H222" s="215" t="s">
        <v>763</v>
      </c>
      <c r="I222" s="212" t="s">
        <v>412</v>
      </c>
      <c r="J222" s="213" t="s">
        <v>2753</v>
      </c>
      <c r="K222" s="223" t="s">
        <v>185</v>
      </c>
      <c r="L222" s="213" t="s">
        <v>297</v>
      </c>
    </row>
    <row r="223" spans="1:12">
      <c r="A223" s="211" t="str">
        <f t="shared" si="9"/>
        <v>Smelter ListQ4</v>
      </c>
      <c r="B223" s="211" t="s">
        <v>2584</v>
      </c>
      <c r="C223" s="211" t="s">
        <v>1016</v>
      </c>
      <c r="D223" s="225" t="s">
        <v>1604</v>
      </c>
      <c r="E223" s="208" t="s">
        <v>843</v>
      </c>
      <c r="F223" s="208" t="s">
        <v>2142</v>
      </c>
      <c r="G223" s="212" t="s">
        <v>1918</v>
      </c>
      <c r="H223" s="212" t="s">
        <v>1919</v>
      </c>
      <c r="I223" s="212" t="s">
        <v>1920</v>
      </c>
      <c r="J223" s="213" t="s">
        <v>2051</v>
      </c>
      <c r="K223" s="223" t="s">
        <v>1921</v>
      </c>
      <c r="L223" s="213" t="s">
        <v>956</v>
      </c>
    </row>
    <row r="224" spans="1:12" ht="42.75">
      <c r="A224" s="211" t="str">
        <f t="shared" si="9"/>
        <v>Smelter ListJ2</v>
      </c>
      <c r="B224" s="211" t="s">
        <v>2584</v>
      </c>
      <c r="C224" s="211" t="s">
        <v>1586</v>
      </c>
      <c r="D224" s="225" t="s">
        <v>202</v>
      </c>
      <c r="E224" s="208" t="s">
        <v>844</v>
      </c>
      <c r="F224" s="208" t="s">
        <v>2457</v>
      </c>
      <c r="G224" s="212" t="s">
        <v>517</v>
      </c>
      <c r="H224" s="212" t="s">
        <v>203</v>
      </c>
      <c r="I224" s="212" t="s">
        <v>413</v>
      </c>
      <c r="J224" s="213" t="s">
        <v>2058</v>
      </c>
      <c r="K224" s="223" t="s">
        <v>204</v>
      </c>
      <c r="L224" s="213" t="s">
        <v>961</v>
      </c>
    </row>
    <row r="225" spans="1:12" s="257" customFormat="1" ht="218.25" customHeight="1">
      <c r="A225" s="211" t="str">
        <f t="shared" si="9"/>
        <v>Smelter ListB2</v>
      </c>
      <c r="B225" s="211" t="s">
        <v>2584</v>
      </c>
      <c r="C225" s="211" t="s">
        <v>2001</v>
      </c>
      <c r="D225" s="225" t="s">
        <v>3834</v>
      </c>
      <c r="E225" s="225" t="s">
        <v>3890</v>
      </c>
      <c r="F225" s="225" t="s">
        <v>3891</v>
      </c>
      <c r="G225" s="225" t="s">
        <v>3892</v>
      </c>
      <c r="H225" s="225" t="s">
        <v>3893</v>
      </c>
      <c r="I225" s="225" t="s">
        <v>3894</v>
      </c>
      <c r="J225" s="225" t="s">
        <v>3895</v>
      </c>
      <c r="K225" s="225" t="s">
        <v>3896</v>
      </c>
      <c r="L225" s="225" t="s">
        <v>3897</v>
      </c>
    </row>
    <row r="226" spans="1:12">
      <c r="A226" s="211" t="str">
        <f t="shared" si="9"/>
        <v>Smelter ListF4</v>
      </c>
      <c r="B226" s="211" t="s">
        <v>2584</v>
      </c>
      <c r="C226" s="211" t="s">
        <v>2667</v>
      </c>
      <c r="D226" s="225" t="s">
        <v>975</v>
      </c>
      <c r="E226" s="208" t="s">
        <v>504</v>
      </c>
      <c r="F226" s="208" t="s">
        <v>2496</v>
      </c>
      <c r="G226" s="212" t="s">
        <v>1222</v>
      </c>
      <c r="H226" s="212" t="s">
        <v>756</v>
      </c>
      <c r="I226" s="212" t="s">
        <v>414</v>
      </c>
      <c r="J226" s="213" t="s">
        <v>2493</v>
      </c>
      <c r="K226" s="223" t="s">
        <v>186</v>
      </c>
      <c r="L226" s="213" t="s">
        <v>110</v>
      </c>
    </row>
    <row r="227" spans="1:12" ht="28.5">
      <c r="A227" s="211" t="str">
        <f t="shared" si="9"/>
        <v>Smelter ListG4</v>
      </c>
      <c r="B227" s="211" t="s">
        <v>2584</v>
      </c>
      <c r="C227" s="211" t="s">
        <v>2658</v>
      </c>
      <c r="D227" s="225" t="s">
        <v>976</v>
      </c>
      <c r="E227" s="208" t="s">
        <v>505</v>
      </c>
      <c r="F227" s="208" t="s">
        <v>672</v>
      </c>
      <c r="G227" s="212" t="s">
        <v>1111</v>
      </c>
      <c r="H227" s="212" t="s">
        <v>764</v>
      </c>
      <c r="I227" s="212" t="s">
        <v>415</v>
      </c>
      <c r="J227" s="213" t="s">
        <v>2754</v>
      </c>
      <c r="K227" s="223" t="s">
        <v>187</v>
      </c>
      <c r="L227" s="213" t="s">
        <v>111</v>
      </c>
    </row>
    <row r="228" spans="1:12" ht="71.25">
      <c r="A228" s="211" t="str">
        <f t="shared" si="9"/>
        <v>CheckerA1</v>
      </c>
      <c r="B228" s="211" t="s">
        <v>2585</v>
      </c>
      <c r="C228" s="211" t="s">
        <v>1295</v>
      </c>
      <c r="D228" s="225" t="s">
        <v>1886</v>
      </c>
      <c r="E228" s="208" t="s">
        <v>506</v>
      </c>
      <c r="F228" s="208" t="s">
        <v>673</v>
      </c>
      <c r="G228" s="212" t="s">
        <v>2458</v>
      </c>
      <c r="H228" s="212" t="s">
        <v>765</v>
      </c>
      <c r="I228" s="212" t="s">
        <v>416</v>
      </c>
      <c r="J228" s="213" t="s">
        <v>2780</v>
      </c>
      <c r="K228" s="223" t="s">
        <v>2459</v>
      </c>
      <c r="L228" s="213" t="s">
        <v>2689</v>
      </c>
    </row>
    <row r="229" spans="1:12" ht="27">
      <c r="A229" s="211" t="str">
        <f t="shared" si="9"/>
        <v>CheckerD1</v>
      </c>
      <c r="B229" s="211" t="s">
        <v>2585</v>
      </c>
      <c r="C229" s="211" t="s">
        <v>2668</v>
      </c>
      <c r="D229" s="225" t="s">
        <v>1888</v>
      </c>
      <c r="E229" s="208" t="s">
        <v>507</v>
      </c>
      <c r="F229" s="208" t="s">
        <v>2460</v>
      </c>
      <c r="G229" s="212" t="s">
        <v>2461</v>
      </c>
      <c r="H229" s="212" t="s">
        <v>2462</v>
      </c>
      <c r="I229" s="212" t="s">
        <v>417</v>
      </c>
      <c r="J229" s="215" t="s">
        <v>2781</v>
      </c>
      <c r="K229" s="223" t="s">
        <v>2463</v>
      </c>
      <c r="L229" s="218" t="s">
        <v>2690</v>
      </c>
    </row>
    <row r="230" spans="1:12">
      <c r="A230" s="211" t="str">
        <f t="shared" si="9"/>
        <v>CheckerA3</v>
      </c>
      <c r="B230" s="211" t="s">
        <v>2585</v>
      </c>
      <c r="C230" s="211" t="s">
        <v>1297</v>
      </c>
      <c r="D230" s="225" t="s">
        <v>1660</v>
      </c>
      <c r="E230" s="208" t="s">
        <v>508</v>
      </c>
      <c r="F230" s="208" t="s">
        <v>2464</v>
      </c>
      <c r="G230" s="212" t="s">
        <v>2465</v>
      </c>
      <c r="H230" s="212" t="s">
        <v>2466</v>
      </c>
      <c r="I230" s="212" t="s">
        <v>2467</v>
      </c>
      <c r="J230" s="215" t="s">
        <v>2468</v>
      </c>
      <c r="K230" s="223" t="s">
        <v>2469</v>
      </c>
      <c r="L230" s="218" t="s">
        <v>2691</v>
      </c>
    </row>
    <row r="231" spans="1:12">
      <c r="A231" s="211" t="str">
        <f t="shared" si="9"/>
        <v>CheckerB3</v>
      </c>
      <c r="B231" s="211" t="s">
        <v>2585</v>
      </c>
      <c r="C231" s="211" t="s">
        <v>1952</v>
      </c>
      <c r="D231" s="225" t="s">
        <v>1661</v>
      </c>
      <c r="E231" s="208" t="s">
        <v>509</v>
      </c>
      <c r="F231" s="208" t="s">
        <v>1638</v>
      </c>
      <c r="G231" s="212" t="s">
        <v>2470</v>
      </c>
      <c r="H231" s="212" t="s">
        <v>2471</v>
      </c>
      <c r="I231" s="212" t="s">
        <v>2472</v>
      </c>
      <c r="J231" s="215" t="s">
        <v>2473</v>
      </c>
      <c r="K231" s="223" t="s">
        <v>2474</v>
      </c>
      <c r="L231" s="218" t="s">
        <v>2692</v>
      </c>
    </row>
    <row r="232" spans="1:12">
      <c r="A232" s="211" t="str">
        <f t="shared" si="9"/>
        <v>CheckerC3</v>
      </c>
      <c r="B232" s="211" t="s">
        <v>2585</v>
      </c>
      <c r="C232" s="211" t="s">
        <v>1973</v>
      </c>
      <c r="D232" s="225" t="s">
        <v>1884</v>
      </c>
      <c r="E232" s="208" t="s">
        <v>510</v>
      </c>
      <c r="F232" s="208" t="s">
        <v>2475</v>
      </c>
      <c r="G232" s="212" t="s">
        <v>2476</v>
      </c>
      <c r="H232" s="212" t="s">
        <v>2477</v>
      </c>
      <c r="I232" s="212" t="s">
        <v>2478</v>
      </c>
      <c r="J232" s="215" t="s">
        <v>2479</v>
      </c>
      <c r="K232" s="223" t="s">
        <v>2478</v>
      </c>
      <c r="L232" s="218" t="s">
        <v>2693</v>
      </c>
    </row>
    <row r="233" spans="1:12">
      <c r="A233" s="211" t="str">
        <f t="shared" si="9"/>
        <v>CheckerD3</v>
      </c>
      <c r="B233" s="211" t="s">
        <v>2585</v>
      </c>
      <c r="C233" s="211" t="s">
        <v>2669</v>
      </c>
      <c r="D233" s="225" t="s">
        <v>1885</v>
      </c>
      <c r="E233" s="208" t="s">
        <v>511</v>
      </c>
      <c r="F233" s="208" t="s">
        <v>1562</v>
      </c>
      <c r="G233" s="212" t="s">
        <v>1563</v>
      </c>
      <c r="H233" s="212" t="s">
        <v>1564</v>
      </c>
      <c r="I233" s="212" t="s">
        <v>418</v>
      </c>
      <c r="J233" s="215" t="s">
        <v>1574</v>
      </c>
      <c r="K233" s="223" t="s">
        <v>1565</v>
      </c>
      <c r="L233" s="218" t="s">
        <v>1566</v>
      </c>
    </row>
    <row r="234" spans="1:12" s="260" customFormat="1" ht="32.25" customHeight="1">
      <c r="A234" s="212" t="s">
        <v>3115</v>
      </c>
      <c r="B234" s="212" t="s">
        <v>2585</v>
      </c>
      <c r="C234" s="212" t="s">
        <v>3114</v>
      </c>
      <c r="D234" s="212" t="s">
        <v>3116</v>
      </c>
      <c r="E234" s="212" t="s">
        <v>4341</v>
      </c>
      <c r="F234" s="212" t="s">
        <v>4342</v>
      </c>
      <c r="G234" s="212" t="s">
        <v>4343</v>
      </c>
      <c r="H234" s="212" t="s">
        <v>4344</v>
      </c>
      <c r="I234" s="212" t="s">
        <v>4345</v>
      </c>
      <c r="J234" s="212" t="s">
        <v>4346</v>
      </c>
      <c r="K234" s="212" t="s">
        <v>4347</v>
      </c>
      <c r="L234" s="212" t="s">
        <v>4348</v>
      </c>
    </row>
    <row r="235" spans="1:12" s="260" customFormat="1" ht="32.25" customHeight="1">
      <c r="A235" s="212" t="str">
        <f t="shared" si="9"/>
        <v>CheckerB63</v>
      </c>
      <c r="B235" s="212" t="s">
        <v>2585</v>
      </c>
      <c r="C235" s="212" t="s">
        <v>3842</v>
      </c>
      <c r="D235" s="212" t="s">
        <v>3116</v>
      </c>
      <c r="E235" s="212" t="s">
        <v>4341</v>
      </c>
      <c r="F235" s="212" t="s">
        <v>4342</v>
      </c>
      <c r="G235" s="212" t="s">
        <v>4343</v>
      </c>
      <c r="H235" s="212" t="s">
        <v>4344</v>
      </c>
      <c r="I235" s="212" t="s">
        <v>4345</v>
      </c>
      <c r="J235" s="212" t="s">
        <v>4346</v>
      </c>
      <c r="K235" s="212" t="s">
        <v>4347</v>
      </c>
      <c r="L235" s="212" t="s">
        <v>4348</v>
      </c>
    </row>
    <row r="236" spans="1:12" s="260" customFormat="1" ht="32.25" customHeight="1">
      <c r="A236" s="212" t="str">
        <f t="shared" si="9"/>
        <v>CheckerB64</v>
      </c>
      <c r="B236" s="212" t="s">
        <v>2585</v>
      </c>
      <c r="C236" s="212" t="s">
        <v>3843</v>
      </c>
      <c r="D236" s="212" t="s">
        <v>3116</v>
      </c>
      <c r="E236" s="212" t="s">
        <v>4341</v>
      </c>
      <c r="F236" s="212" t="s">
        <v>4342</v>
      </c>
      <c r="G236" s="212" t="s">
        <v>4343</v>
      </c>
      <c r="H236" s="212" t="s">
        <v>4344</v>
      </c>
      <c r="I236" s="212" t="s">
        <v>4345</v>
      </c>
      <c r="J236" s="212" t="s">
        <v>4346</v>
      </c>
      <c r="K236" s="212" t="s">
        <v>4347</v>
      </c>
      <c r="L236" s="212" t="s">
        <v>4348</v>
      </c>
    </row>
    <row r="237" spans="1:12" s="260" customFormat="1" ht="32.25" customHeight="1">
      <c r="A237" s="212" t="str">
        <f t="shared" si="9"/>
        <v>CheckerB65</v>
      </c>
      <c r="B237" s="212" t="s">
        <v>2585</v>
      </c>
      <c r="C237" s="212" t="s">
        <v>3844</v>
      </c>
      <c r="D237" s="212" t="s">
        <v>3116</v>
      </c>
      <c r="E237" s="212" t="s">
        <v>4341</v>
      </c>
      <c r="F237" s="212" t="s">
        <v>4342</v>
      </c>
      <c r="G237" s="212" t="s">
        <v>4343</v>
      </c>
      <c r="H237" s="212" t="s">
        <v>4344</v>
      </c>
      <c r="I237" s="212" t="s">
        <v>4345</v>
      </c>
      <c r="J237" s="212" t="s">
        <v>4346</v>
      </c>
      <c r="K237" s="212" t="s">
        <v>4347</v>
      </c>
      <c r="L237" s="212" t="s">
        <v>4348</v>
      </c>
    </row>
    <row r="238" spans="1:12" s="257" customFormat="1" ht="32.25" customHeight="1">
      <c r="A238" s="211" t="s">
        <v>3136</v>
      </c>
      <c r="B238" s="211" t="s">
        <v>2585</v>
      </c>
      <c r="C238" s="211" t="s">
        <v>3135</v>
      </c>
      <c r="D238" s="225" t="s">
        <v>3137</v>
      </c>
      <c r="E238" s="225" t="s">
        <v>3898</v>
      </c>
      <c r="F238" s="225" t="s">
        <v>3899</v>
      </c>
      <c r="G238" s="225" t="s">
        <v>3900</v>
      </c>
      <c r="H238" s="225" t="s">
        <v>3901</v>
      </c>
      <c r="I238" s="225" t="s">
        <v>3902</v>
      </c>
      <c r="J238" s="225" t="s">
        <v>3903</v>
      </c>
      <c r="K238" s="225" t="s">
        <v>3137</v>
      </c>
      <c r="L238" s="225" t="s">
        <v>3904</v>
      </c>
    </row>
    <row r="239" spans="1:12" s="257" customFormat="1" ht="42.75">
      <c r="A239" s="211" t="s">
        <v>3117</v>
      </c>
      <c r="B239" s="211" t="s">
        <v>2585</v>
      </c>
      <c r="C239" s="211" t="s">
        <v>2661</v>
      </c>
      <c r="D239" s="225" t="s">
        <v>3297</v>
      </c>
      <c r="E239" s="225" t="s">
        <v>3905</v>
      </c>
      <c r="F239" s="225" t="s">
        <v>3906</v>
      </c>
      <c r="G239" s="225" t="s">
        <v>3907</v>
      </c>
      <c r="H239" s="225" t="s">
        <v>3908</v>
      </c>
      <c r="I239" s="225" t="s">
        <v>3909</v>
      </c>
      <c r="J239" s="225" t="s">
        <v>3910</v>
      </c>
      <c r="K239" s="225" t="s">
        <v>3911</v>
      </c>
      <c r="L239" s="225" t="s">
        <v>3912</v>
      </c>
    </row>
    <row r="240" spans="1:12" s="257" customFormat="1" ht="42.75">
      <c r="A240" s="211" t="s">
        <v>3138</v>
      </c>
      <c r="B240" s="211" t="s">
        <v>2585</v>
      </c>
      <c r="C240" s="211" t="s">
        <v>3118</v>
      </c>
      <c r="D240" s="225" t="s">
        <v>3296</v>
      </c>
      <c r="E240" s="225" t="s">
        <v>3913</v>
      </c>
      <c r="F240" s="225" t="s">
        <v>3914</v>
      </c>
      <c r="G240" s="225" t="s">
        <v>3915</v>
      </c>
      <c r="H240" s="225" t="s">
        <v>3916</v>
      </c>
      <c r="I240" s="225" t="s">
        <v>3917</v>
      </c>
      <c r="J240" s="225" t="s">
        <v>3918</v>
      </c>
      <c r="K240" s="225" t="s">
        <v>3919</v>
      </c>
      <c r="L240" s="225" t="s">
        <v>3920</v>
      </c>
    </row>
    <row r="241" spans="1:12" s="257" customFormat="1" ht="42.75">
      <c r="A241" s="211" t="s">
        <v>3231</v>
      </c>
      <c r="B241" s="211" t="s">
        <v>2585</v>
      </c>
      <c r="C241" s="211" t="s">
        <v>3119</v>
      </c>
      <c r="D241" s="225" t="s">
        <v>3302</v>
      </c>
      <c r="E241" s="225" t="s">
        <v>3921</v>
      </c>
      <c r="F241" s="225" t="s">
        <v>3922</v>
      </c>
      <c r="G241" s="225" t="s">
        <v>3923</v>
      </c>
      <c r="H241" s="225" t="s">
        <v>3924</v>
      </c>
      <c r="I241" s="225" t="s">
        <v>3925</v>
      </c>
      <c r="J241" s="225" t="s">
        <v>3926</v>
      </c>
      <c r="K241" s="225" t="s">
        <v>3927</v>
      </c>
      <c r="L241" s="225" t="s">
        <v>3928</v>
      </c>
    </row>
    <row r="242" spans="1:12" s="257" customFormat="1" ht="42.75">
      <c r="A242" s="211" t="s">
        <v>3232</v>
      </c>
      <c r="B242" s="211" t="s">
        <v>2585</v>
      </c>
      <c r="C242" s="211" t="s">
        <v>3120</v>
      </c>
      <c r="D242" s="225" t="s">
        <v>3205</v>
      </c>
      <c r="E242" s="225" t="s">
        <v>3929</v>
      </c>
      <c r="F242" s="225" t="s">
        <v>3930</v>
      </c>
      <c r="G242" s="225" t="s">
        <v>3931</v>
      </c>
      <c r="H242" s="225" t="s">
        <v>3932</v>
      </c>
      <c r="I242" s="225" t="s">
        <v>3933</v>
      </c>
      <c r="J242" s="225" t="s">
        <v>3934</v>
      </c>
      <c r="K242" s="225" t="s">
        <v>3935</v>
      </c>
      <c r="L242" s="225" t="s">
        <v>3936</v>
      </c>
    </row>
    <row r="243" spans="1:12" s="257" customFormat="1" ht="42.75">
      <c r="A243" s="211" t="s">
        <v>3247</v>
      </c>
      <c r="B243" s="211" t="s">
        <v>2585</v>
      </c>
      <c r="C243" s="211" t="s">
        <v>3121</v>
      </c>
      <c r="D243" s="225" t="s">
        <v>3206</v>
      </c>
      <c r="E243" s="225" t="s">
        <v>3937</v>
      </c>
      <c r="F243" s="225" t="s">
        <v>3938</v>
      </c>
      <c r="G243" s="225" t="s">
        <v>3939</v>
      </c>
      <c r="H243" s="225" t="s">
        <v>3940</v>
      </c>
      <c r="I243" s="225" t="s">
        <v>3941</v>
      </c>
      <c r="J243" s="225" t="s">
        <v>3942</v>
      </c>
      <c r="K243" s="225" t="s">
        <v>3943</v>
      </c>
      <c r="L243" s="225" t="s">
        <v>3944</v>
      </c>
    </row>
    <row r="244" spans="1:12" s="257" customFormat="1" ht="42.75">
      <c r="A244" s="211" t="s">
        <v>3248</v>
      </c>
      <c r="B244" s="211" t="s">
        <v>2585</v>
      </c>
      <c r="C244" s="211" t="s">
        <v>3122</v>
      </c>
      <c r="D244" s="225" t="s">
        <v>3207</v>
      </c>
      <c r="E244" s="225" t="s">
        <v>3945</v>
      </c>
      <c r="F244" s="225" t="s">
        <v>3946</v>
      </c>
      <c r="G244" s="225" t="s">
        <v>3947</v>
      </c>
      <c r="H244" s="225" t="s">
        <v>3948</v>
      </c>
      <c r="I244" s="225" t="s">
        <v>3949</v>
      </c>
      <c r="J244" s="225" t="s">
        <v>3950</v>
      </c>
      <c r="K244" s="225" t="s">
        <v>3951</v>
      </c>
      <c r="L244" s="225" t="s">
        <v>3952</v>
      </c>
    </row>
    <row r="245" spans="1:12" s="257" customFormat="1" ht="57">
      <c r="A245" s="211" t="s">
        <v>3249</v>
      </c>
      <c r="B245" s="211" t="s">
        <v>2585</v>
      </c>
      <c r="C245" s="211" t="s">
        <v>3123</v>
      </c>
      <c r="D245" s="225" t="s">
        <v>3208</v>
      </c>
      <c r="E245" s="225" t="s">
        <v>3953</v>
      </c>
      <c r="F245" s="225" t="s">
        <v>3954</v>
      </c>
      <c r="G245" s="225" t="s">
        <v>3955</v>
      </c>
      <c r="H245" s="225" t="s">
        <v>3956</v>
      </c>
      <c r="I245" s="225" t="s">
        <v>3957</v>
      </c>
      <c r="J245" s="225" t="s">
        <v>3958</v>
      </c>
      <c r="K245" s="225" t="s">
        <v>3959</v>
      </c>
      <c r="L245" s="225" t="s">
        <v>3960</v>
      </c>
    </row>
    <row r="246" spans="1:12" s="257" customFormat="1" ht="57">
      <c r="A246" s="211" t="s">
        <v>3250</v>
      </c>
      <c r="B246" s="211" t="s">
        <v>2585</v>
      </c>
      <c r="C246" s="211" t="s">
        <v>3124</v>
      </c>
      <c r="D246" s="225" t="s">
        <v>3209</v>
      </c>
      <c r="E246" s="225" t="s">
        <v>3961</v>
      </c>
      <c r="F246" s="225" t="s">
        <v>3962</v>
      </c>
      <c r="G246" s="225" t="s">
        <v>3963</v>
      </c>
      <c r="H246" s="225" t="s">
        <v>3964</v>
      </c>
      <c r="I246" s="225" t="s">
        <v>3965</v>
      </c>
      <c r="J246" s="225" t="s">
        <v>3966</v>
      </c>
      <c r="K246" s="225" t="s">
        <v>3967</v>
      </c>
      <c r="L246" s="225" t="s">
        <v>3968</v>
      </c>
    </row>
    <row r="247" spans="1:12" s="257" customFormat="1" ht="57">
      <c r="A247" s="211" t="s">
        <v>3251</v>
      </c>
      <c r="B247" s="211" t="s">
        <v>2585</v>
      </c>
      <c r="C247" s="211" t="s">
        <v>3125</v>
      </c>
      <c r="D247" s="225" t="s">
        <v>3210</v>
      </c>
      <c r="E247" s="225" t="s">
        <v>3969</v>
      </c>
      <c r="F247" s="225" t="s">
        <v>3970</v>
      </c>
      <c r="G247" s="225" t="s">
        <v>3971</v>
      </c>
      <c r="H247" s="225" t="s">
        <v>3972</v>
      </c>
      <c r="I247" s="225" t="s">
        <v>3973</v>
      </c>
      <c r="J247" s="225" t="s">
        <v>3974</v>
      </c>
      <c r="K247" s="225" t="s">
        <v>3975</v>
      </c>
      <c r="L247" s="225" t="s">
        <v>3976</v>
      </c>
    </row>
    <row r="248" spans="1:12" s="257" customFormat="1" ht="42.75">
      <c r="A248" s="211" t="s">
        <v>3252</v>
      </c>
      <c r="B248" s="211" t="s">
        <v>2585</v>
      </c>
      <c r="C248" s="211" t="s">
        <v>3126</v>
      </c>
      <c r="D248" s="225" t="s">
        <v>3172</v>
      </c>
      <c r="E248" s="225" t="s">
        <v>3977</v>
      </c>
      <c r="F248" s="225" t="s">
        <v>3978</v>
      </c>
      <c r="G248" s="225" t="s">
        <v>3979</v>
      </c>
      <c r="H248" s="225" t="s">
        <v>3980</v>
      </c>
      <c r="I248" s="225" t="s">
        <v>3981</v>
      </c>
      <c r="J248" s="225" t="s">
        <v>3982</v>
      </c>
      <c r="K248" s="225" t="s">
        <v>3983</v>
      </c>
      <c r="L248" s="225" t="s">
        <v>3984</v>
      </c>
    </row>
    <row r="249" spans="1:12" s="257" customFormat="1" ht="57">
      <c r="A249" s="211" t="s">
        <v>3253</v>
      </c>
      <c r="B249" s="211" t="s">
        <v>2585</v>
      </c>
      <c r="C249" s="211" t="s">
        <v>3127</v>
      </c>
      <c r="D249" s="225" t="s">
        <v>3298</v>
      </c>
      <c r="E249" s="225" t="s">
        <v>3985</v>
      </c>
      <c r="F249" s="225" t="s">
        <v>3986</v>
      </c>
      <c r="G249" s="225" t="s">
        <v>3987</v>
      </c>
      <c r="H249" s="225" t="s">
        <v>3988</v>
      </c>
      <c r="I249" s="225" t="s">
        <v>3989</v>
      </c>
      <c r="J249" s="225" t="s">
        <v>3990</v>
      </c>
      <c r="K249" s="225" t="s">
        <v>3991</v>
      </c>
      <c r="L249" s="225" t="s">
        <v>3992</v>
      </c>
    </row>
    <row r="250" spans="1:12" s="257" customFormat="1" ht="57">
      <c r="A250" s="211" t="s">
        <v>3254</v>
      </c>
      <c r="B250" s="211" t="s">
        <v>2585</v>
      </c>
      <c r="C250" s="211" t="s">
        <v>3128</v>
      </c>
      <c r="D250" s="225" t="s">
        <v>3299</v>
      </c>
      <c r="E250" s="225" t="s">
        <v>3993</v>
      </c>
      <c r="F250" s="225" t="s">
        <v>3994</v>
      </c>
      <c r="G250" s="225" t="s">
        <v>3995</v>
      </c>
      <c r="H250" s="225" t="s">
        <v>3996</v>
      </c>
      <c r="I250" s="225" t="s">
        <v>3997</v>
      </c>
      <c r="J250" s="225" t="s">
        <v>3998</v>
      </c>
      <c r="K250" s="225" t="s">
        <v>3999</v>
      </c>
      <c r="L250" s="225" t="s">
        <v>4000</v>
      </c>
    </row>
    <row r="251" spans="1:12" s="257" customFormat="1" ht="42.75">
      <c r="A251" s="211" t="s">
        <v>3255</v>
      </c>
      <c r="B251" s="211" t="s">
        <v>2585</v>
      </c>
      <c r="C251" s="211" t="s">
        <v>3129</v>
      </c>
      <c r="D251" s="225" t="s">
        <v>3300</v>
      </c>
      <c r="E251" s="225" t="s">
        <v>4001</v>
      </c>
      <c r="F251" s="225" t="s">
        <v>4002</v>
      </c>
      <c r="G251" s="225" t="s">
        <v>4003</v>
      </c>
      <c r="H251" s="225" t="s">
        <v>4004</v>
      </c>
      <c r="I251" s="225" t="s">
        <v>4005</v>
      </c>
      <c r="J251" s="225" t="s">
        <v>4006</v>
      </c>
      <c r="K251" s="225" t="s">
        <v>4007</v>
      </c>
      <c r="L251" s="225" t="s">
        <v>4008</v>
      </c>
    </row>
    <row r="252" spans="1:12" s="257" customFormat="1" ht="57">
      <c r="A252" s="211" t="s">
        <v>3256</v>
      </c>
      <c r="B252" s="211" t="s">
        <v>2585</v>
      </c>
      <c r="C252" s="211" t="s">
        <v>3130</v>
      </c>
      <c r="D252" s="225" t="s">
        <v>3301</v>
      </c>
      <c r="E252" s="225" t="s">
        <v>4009</v>
      </c>
      <c r="F252" s="225" t="s">
        <v>4010</v>
      </c>
      <c r="G252" s="225" t="s">
        <v>4011</v>
      </c>
      <c r="H252" s="225" t="s">
        <v>4012</v>
      </c>
      <c r="I252" s="225" t="s">
        <v>4013</v>
      </c>
      <c r="J252" s="225" t="s">
        <v>4014</v>
      </c>
      <c r="K252" s="225" t="s">
        <v>4015</v>
      </c>
      <c r="L252" s="225" t="s">
        <v>4016</v>
      </c>
    </row>
    <row r="253" spans="1:12" s="257" customFormat="1" ht="71.25">
      <c r="A253" s="211" t="s">
        <v>3257</v>
      </c>
      <c r="B253" s="211" t="s">
        <v>2585</v>
      </c>
      <c r="C253" s="211" t="s">
        <v>3131</v>
      </c>
      <c r="D253" s="225" t="s">
        <v>3173</v>
      </c>
      <c r="E253" s="225" t="s">
        <v>4017</v>
      </c>
      <c r="F253" s="225" t="s">
        <v>4018</v>
      </c>
      <c r="G253" s="225" t="s">
        <v>4019</v>
      </c>
      <c r="H253" s="225" t="s">
        <v>4020</v>
      </c>
      <c r="I253" s="225" t="s">
        <v>4021</v>
      </c>
      <c r="J253" s="225" t="s">
        <v>4022</v>
      </c>
      <c r="K253" s="225" t="s">
        <v>4023</v>
      </c>
      <c r="L253" s="225" t="s">
        <v>4024</v>
      </c>
    </row>
    <row r="254" spans="1:12" s="257" customFormat="1" ht="71.25">
      <c r="A254" s="211" t="s">
        <v>3258</v>
      </c>
      <c r="B254" s="211" t="s">
        <v>2585</v>
      </c>
      <c r="C254" s="211" t="s">
        <v>3132</v>
      </c>
      <c r="D254" s="225" t="s">
        <v>3174</v>
      </c>
      <c r="E254" s="225" t="s">
        <v>4025</v>
      </c>
      <c r="F254" s="225" t="s">
        <v>4026</v>
      </c>
      <c r="G254" s="225" t="s">
        <v>4027</v>
      </c>
      <c r="H254" s="225" t="s">
        <v>4028</v>
      </c>
      <c r="I254" s="225" t="s">
        <v>4029</v>
      </c>
      <c r="J254" s="225" t="s">
        <v>4030</v>
      </c>
      <c r="K254" s="225" t="s">
        <v>4031</v>
      </c>
      <c r="L254" s="225" t="s">
        <v>4032</v>
      </c>
    </row>
    <row r="255" spans="1:12" s="257" customFormat="1" ht="71.25">
      <c r="A255" s="211" t="s">
        <v>3259</v>
      </c>
      <c r="B255" s="211" t="s">
        <v>2585</v>
      </c>
      <c r="C255" s="211" t="s">
        <v>3133</v>
      </c>
      <c r="D255" s="225" t="s">
        <v>3175</v>
      </c>
      <c r="E255" s="225" t="s">
        <v>4033</v>
      </c>
      <c r="F255" s="225" t="s">
        <v>4034</v>
      </c>
      <c r="G255" s="225" t="s">
        <v>4035</v>
      </c>
      <c r="H255" s="225" t="s">
        <v>4036</v>
      </c>
      <c r="I255" s="225" t="s">
        <v>4037</v>
      </c>
      <c r="J255" s="225" t="s">
        <v>4038</v>
      </c>
      <c r="K255" s="225" t="s">
        <v>4039</v>
      </c>
      <c r="L255" s="225" t="s">
        <v>4040</v>
      </c>
    </row>
    <row r="256" spans="1:12" s="257" customFormat="1" ht="71.25">
      <c r="A256" s="211" t="s">
        <v>3260</v>
      </c>
      <c r="B256" s="211" t="s">
        <v>2585</v>
      </c>
      <c r="C256" s="211" t="s">
        <v>3204</v>
      </c>
      <c r="D256" s="225" t="s">
        <v>3176</v>
      </c>
      <c r="E256" s="225" t="s">
        <v>4041</v>
      </c>
      <c r="F256" s="225" t="s">
        <v>4042</v>
      </c>
      <c r="G256" s="225" t="s">
        <v>4043</v>
      </c>
      <c r="H256" s="225" t="s">
        <v>4044</v>
      </c>
      <c r="I256" s="225" t="s">
        <v>4045</v>
      </c>
      <c r="J256" s="225" t="s">
        <v>4046</v>
      </c>
      <c r="K256" s="225" t="s">
        <v>4047</v>
      </c>
      <c r="L256" s="225" t="s">
        <v>4048</v>
      </c>
    </row>
    <row r="257" spans="1:12" s="257" customFormat="1" ht="85.5">
      <c r="A257" s="211" t="s">
        <v>3261</v>
      </c>
      <c r="B257" s="211" t="s">
        <v>2585</v>
      </c>
      <c r="C257" s="211" t="s">
        <v>3211</v>
      </c>
      <c r="D257" s="225" t="s">
        <v>3177</v>
      </c>
      <c r="E257" s="225" t="s">
        <v>4049</v>
      </c>
      <c r="F257" s="225" t="s">
        <v>4050</v>
      </c>
      <c r="G257" s="225" t="s">
        <v>4051</v>
      </c>
      <c r="H257" s="225" t="s">
        <v>4052</v>
      </c>
      <c r="I257" s="225" t="s">
        <v>4053</v>
      </c>
      <c r="J257" s="225" t="s">
        <v>4054</v>
      </c>
      <c r="K257" s="225" t="s">
        <v>4055</v>
      </c>
      <c r="L257" s="225" t="s">
        <v>4056</v>
      </c>
    </row>
    <row r="258" spans="1:12" s="257" customFormat="1" ht="85.5">
      <c r="A258" s="211" t="s">
        <v>3262</v>
      </c>
      <c r="B258" s="211" t="s">
        <v>2585</v>
      </c>
      <c r="C258" s="211" t="s">
        <v>3212</v>
      </c>
      <c r="D258" s="225" t="s">
        <v>3178</v>
      </c>
      <c r="E258" s="225" t="s">
        <v>4057</v>
      </c>
      <c r="F258" s="225" t="s">
        <v>4058</v>
      </c>
      <c r="G258" s="225" t="s">
        <v>4059</v>
      </c>
      <c r="H258" s="225" t="s">
        <v>4060</v>
      </c>
      <c r="I258" s="225" t="s">
        <v>4061</v>
      </c>
      <c r="J258" s="225" t="s">
        <v>4062</v>
      </c>
      <c r="K258" s="225" t="s">
        <v>4063</v>
      </c>
      <c r="L258" s="225" t="s">
        <v>4064</v>
      </c>
    </row>
    <row r="259" spans="1:12" s="257" customFormat="1" ht="85.5">
      <c r="A259" s="211" t="s">
        <v>3263</v>
      </c>
      <c r="B259" s="211" t="s">
        <v>2585</v>
      </c>
      <c r="C259" s="211" t="s">
        <v>3213</v>
      </c>
      <c r="D259" s="225" t="s">
        <v>3179</v>
      </c>
      <c r="E259" s="225" t="s">
        <v>4065</v>
      </c>
      <c r="F259" s="225" t="s">
        <v>4066</v>
      </c>
      <c r="G259" s="225" t="s">
        <v>4067</v>
      </c>
      <c r="H259" s="225" t="s">
        <v>4068</v>
      </c>
      <c r="I259" s="225" t="s">
        <v>4069</v>
      </c>
      <c r="J259" s="225" t="s">
        <v>4070</v>
      </c>
      <c r="K259" s="225" t="s">
        <v>4071</v>
      </c>
      <c r="L259" s="225" t="s">
        <v>4072</v>
      </c>
    </row>
    <row r="260" spans="1:12" s="257" customFormat="1" ht="85.5">
      <c r="A260" s="211" t="s">
        <v>3264</v>
      </c>
      <c r="B260" s="211" t="s">
        <v>2585</v>
      </c>
      <c r="C260" s="211" t="s">
        <v>3214</v>
      </c>
      <c r="D260" s="225" t="s">
        <v>3180</v>
      </c>
      <c r="E260" s="225" t="s">
        <v>4073</v>
      </c>
      <c r="F260" s="225" t="s">
        <v>4074</v>
      </c>
      <c r="G260" s="225" t="s">
        <v>4075</v>
      </c>
      <c r="H260" s="225" t="s">
        <v>4076</v>
      </c>
      <c r="I260" s="225" t="s">
        <v>4077</v>
      </c>
      <c r="J260" s="225" t="s">
        <v>4078</v>
      </c>
      <c r="K260" s="225" t="s">
        <v>4079</v>
      </c>
      <c r="L260" s="225" t="s">
        <v>4080</v>
      </c>
    </row>
    <row r="261" spans="1:12" s="257" customFormat="1" ht="85.5">
      <c r="A261" s="211" t="s">
        <v>3265</v>
      </c>
      <c r="B261" s="211" t="s">
        <v>2585</v>
      </c>
      <c r="C261" s="211" t="s">
        <v>3215</v>
      </c>
      <c r="D261" s="225" t="s">
        <v>3181</v>
      </c>
      <c r="E261" s="225" t="s">
        <v>4081</v>
      </c>
      <c r="F261" s="225" t="s">
        <v>4082</v>
      </c>
      <c r="G261" s="225" t="s">
        <v>4083</v>
      </c>
      <c r="H261" s="225" t="s">
        <v>4084</v>
      </c>
      <c r="I261" s="225" t="s">
        <v>4085</v>
      </c>
      <c r="J261" s="225" t="s">
        <v>4086</v>
      </c>
      <c r="K261" s="225" t="s">
        <v>4087</v>
      </c>
      <c r="L261" s="225" t="s">
        <v>4088</v>
      </c>
    </row>
    <row r="262" spans="1:12" s="257" customFormat="1" ht="85.5">
      <c r="A262" s="211" t="s">
        <v>3266</v>
      </c>
      <c r="B262" s="211" t="s">
        <v>2585</v>
      </c>
      <c r="C262" s="251" t="s">
        <v>3216</v>
      </c>
      <c r="D262" s="259" t="s">
        <v>3182</v>
      </c>
      <c r="E262" s="259" t="s">
        <v>4089</v>
      </c>
      <c r="F262" s="259" t="s">
        <v>4090</v>
      </c>
      <c r="G262" s="259" t="s">
        <v>4091</v>
      </c>
      <c r="H262" s="259" t="s">
        <v>4092</v>
      </c>
      <c r="I262" s="259" t="s">
        <v>4093</v>
      </c>
      <c r="J262" s="259" t="s">
        <v>4094</v>
      </c>
      <c r="K262" s="259" t="s">
        <v>4095</v>
      </c>
      <c r="L262" s="259" t="s">
        <v>4096</v>
      </c>
    </row>
    <row r="263" spans="1:12" s="257" customFormat="1" ht="85.5">
      <c r="A263" s="211" t="s">
        <v>3267</v>
      </c>
      <c r="B263" s="211" t="s">
        <v>2585</v>
      </c>
      <c r="C263" s="251" t="s">
        <v>3217</v>
      </c>
      <c r="D263" s="225" t="s">
        <v>3183</v>
      </c>
      <c r="E263" s="225" t="s">
        <v>4097</v>
      </c>
      <c r="F263" s="225" t="s">
        <v>4098</v>
      </c>
      <c r="G263" s="225" t="s">
        <v>4099</v>
      </c>
      <c r="H263" s="225" t="s">
        <v>4100</v>
      </c>
      <c r="I263" s="225" t="s">
        <v>4101</v>
      </c>
      <c r="J263" s="225" t="s">
        <v>4102</v>
      </c>
      <c r="K263" s="225" t="s">
        <v>4103</v>
      </c>
      <c r="L263" s="225" t="s">
        <v>4104</v>
      </c>
    </row>
    <row r="264" spans="1:12" s="257" customFormat="1" ht="85.5">
      <c r="A264" s="211" t="s">
        <v>3268</v>
      </c>
      <c r="B264" s="211" t="s">
        <v>2585</v>
      </c>
      <c r="C264" s="211" t="s">
        <v>3218</v>
      </c>
      <c r="D264" s="225" t="s">
        <v>3184</v>
      </c>
      <c r="E264" s="225" t="s">
        <v>4105</v>
      </c>
      <c r="F264" s="225" t="s">
        <v>4106</v>
      </c>
      <c r="G264" s="225" t="s">
        <v>4107</v>
      </c>
      <c r="H264" s="225" t="s">
        <v>4108</v>
      </c>
      <c r="I264" s="225" t="s">
        <v>4109</v>
      </c>
      <c r="J264" s="225" t="s">
        <v>4110</v>
      </c>
      <c r="K264" s="225" t="s">
        <v>4111</v>
      </c>
      <c r="L264" s="225" t="s">
        <v>4112</v>
      </c>
    </row>
    <row r="265" spans="1:12" s="257" customFormat="1" ht="57">
      <c r="A265" s="211" t="s">
        <v>3269</v>
      </c>
      <c r="B265" s="211" t="s">
        <v>2585</v>
      </c>
      <c r="C265" s="211" t="s">
        <v>3219</v>
      </c>
      <c r="D265" s="225" t="s">
        <v>2606</v>
      </c>
      <c r="E265" s="225" t="s">
        <v>4113</v>
      </c>
      <c r="F265" s="225" t="s">
        <v>4114</v>
      </c>
      <c r="G265" s="225" t="s">
        <v>4115</v>
      </c>
      <c r="H265" s="225" t="s">
        <v>4116</v>
      </c>
      <c r="I265" s="225" t="s">
        <v>4117</v>
      </c>
      <c r="J265" s="225" t="s">
        <v>4118</v>
      </c>
      <c r="K265" s="225" t="s">
        <v>4119</v>
      </c>
      <c r="L265" s="225" t="s">
        <v>4120</v>
      </c>
    </row>
    <row r="266" spans="1:12" s="257" customFormat="1" ht="57">
      <c r="A266" s="211" t="s">
        <v>3270</v>
      </c>
      <c r="B266" s="211" t="s">
        <v>2585</v>
      </c>
      <c r="C266" s="211" t="s">
        <v>3220</v>
      </c>
      <c r="D266" s="225" t="s">
        <v>2607</v>
      </c>
      <c r="E266" s="225" t="s">
        <v>4121</v>
      </c>
      <c r="F266" s="225" t="s">
        <v>4122</v>
      </c>
      <c r="G266" s="225" t="s">
        <v>4123</v>
      </c>
      <c r="H266" s="225" t="s">
        <v>4124</v>
      </c>
      <c r="I266" s="225" t="s">
        <v>4125</v>
      </c>
      <c r="J266" s="225" t="s">
        <v>4126</v>
      </c>
      <c r="K266" s="225" t="s">
        <v>4127</v>
      </c>
      <c r="L266" s="225" t="s">
        <v>4128</v>
      </c>
    </row>
    <row r="267" spans="1:12" s="257" customFormat="1" ht="57">
      <c r="A267" s="211" t="s">
        <v>3271</v>
      </c>
      <c r="B267" s="211" t="s">
        <v>2585</v>
      </c>
      <c r="C267" s="211" t="s">
        <v>3221</v>
      </c>
      <c r="D267" s="225" t="s">
        <v>2608</v>
      </c>
      <c r="E267" s="225" t="s">
        <v>4129</v>
      </c>
      <c r="F267" s="225" t="s">
        <v>4130</v>
      </c>
      <c r="G267" s="225" t="s">
        <v>4131</v>
      </c>
      <c r="H267" s="225" t="s">
        <v>4132</v>
      </c>
      <c r="I267" s="225" t="s">
        <v>4133</v>
      </c>
      <c r="J267" s="225" t="s">
        <v>4134</v>
      </c>
      <c r="K267" s="225" t="s">
        <v>4135</v>
      </c>
      <c r="L267" s="225" t="s">
        <v>4136</v>
      </c>
    </row>
    <row r="268" spans="1:12" s="257" customFormat="1" ht="57">
      <c r="A268" s="211" t="s">
        <v>3272</v>
      </c>
      <c r="B268" s="211" t="s">
        <v>2585</v>
      </c>
      <c r="C268" s="211" t="s">
        <v>3222</v>
      </c>
      <c r="D268" s="225" t="s">
        <v>2609</v>
      </c>
      <c r="E268" s="225" t="s">
        <v>4137</v>
      </c>
      <c r="F268" s="225" t="s">
        <v>4138</v>
      </c>
      <c r="G268" s="225" t="s">
        <v>4139</v>
      </c>
      <c r="H268" s="225" t="s">
        <v>4140</v>
      </c>
      <c r="I268" s="225" t="s">
        <v>4141</v>
      </c>
      <c r="J268" s="225" t="s">
        <v>4142</v>
      </c>
      <c r="K268" s="225" t="s">
        <v>4143</v>
      </c>
      <c r="L268" s="225" t="s">
        <v>4144</v>
      </c>
    </row>
    <row r="269" spans="1:12" s="257" customFormat="1" ht="85.5">
      <c r="A269" s="211" t="s">
        <v>3273</v>
      </c>
      <c r="B269" s="211" t="s">
        <v>2585</v>
      </c>
      <c r="C269" s="211" t="s">
        <v>3223</v>
      </c>
      <c r="D269" s="225" t="s">
        <v>3185</v>
      </c>
      <c r="E269" s="225" t="s">
        <v>4145</v>
      </c>
      <c r="F269" s="225" t="s">
        <v>4146</v>
      </c>
      <c r="G269" s="225" t="s">
        <v>4147</v>
      </c>
      <c r="H269" s="225" t="s">
        <v>4148</v>
      </c>
      <c r="I269" s="225" t="s">
        <v>4149</v>
      </c>
      <c r="J269" s="225" t="s">
        <v>4150</v>
      </c>
      <c r="K269" s="225" t="s">
        <v>4151</v>
      </c>
      <c r="L269" s="225" t="s">
        <v>4152</v>
      </c>
    </row>
    <row r="270" spans="1:12" s="257" customFormat="1" ht="85.5">
      <c r="A270" s="211" t="s">
        <v>3274</v>
      </c>
      <c r="B270" s="211" t="s">
        <v>2585</v>
      </c>
      <c r="C270" s="211" t="s">
        <v>3224</v>
      </c>
      <c r="D270" s="225" t="s">
        <v>3186</v>
      </c>
      <c r="E270" s="225" t="s">
        <v>4153</v>
      </c>
      <c r="F270" s="225" t="s">
        <v>4154</v>
      </c>
      <c r="G270" s="225" t="s">
        <v>4155</v>
      </c>
      <c r="H270" s="225" t="s">
        <v>4156</v>
      </c>
      <c r="I270" s="225" t="s">
        <v>4157</v>
      </c>
      <c r="J270" s="225" t="s">
        <v>4158</v>
      </c>
      <c r="K270" s="225" t="s">
        <v>4159</v>
      </c>
      <c r="L270" s="225" t="s">
        <v>4160</v>
      </c>
    </row>
    <row r="271" spans="1:12" s="257" customFormat="1" ht="85.5">
      <c r="A271" s="211" t="s">
        <v>3275</v>
      </c>
      <c r="B271" s="211" t="s">
        <v>2585</v>
      </c>
      <c r="C271" s="211" t="s">
        <v>3225</v>
      </c>
      <c r="D271" s="225" t="s">
        <v>3187</v>
      </c>
      <c r="E271" s="225" t="s">
        <v>4161</v>
      </c>
      <c r="F271" s="225" t="s">
        <v>4162</v>
      </c>
      <c r="G271" s="225" t="s">
        <v>4163</v>
      </c>
      <c r="H271" s="225" t="s">
        <v>4164</v>
      </c>
      <c r="I271" s="225" t="s">
        <v>4165</v>
      </c>
      <c r="J271" s="225" t="s">
        <v>4166</v>
      </c>
      <c r="K271" s="225" t="s">
        <v>4167</v>
      </c>
      <c r="L271" s="225" t="s">
        <v>4168</v>
      </c>
    </row>
    <row r="272" spans="1:12" s="257" customFormat="1" ht="85.5">
      <c r="A272" s="211" t="s">
        <v>3276</v>
      </c>
      <c r="B272" s="211" t="s">
        <v>2585</v>
      </c>
      <c r="C272" s="211" t="s">
        <v>3226</v>
      </c>
      <c r="D272" s="225" t="s">
        <v>3188</v>
      </c>
      <c r="E272" s="225" t="s">
        <v>4169</v>
      </c>
      <c r="F272" s="225" t="s">
        <v>4170</v>
      </c>
      <c r="G272" s="225" t="s">
        <v>4171</v>
      </c>
      <c r="H272" s="225" t="s">
        <v>4172</v>
      </c>
      <c r="I272" s="225" t="s">
        <v>4173</v>
      </c>
      <c r="J272" s="225" t="s">
        <v>4174</v>
      </c>
      <c r="K272" s="225" t="s">
        <v>4175</v>
      </c>
      <c r="L272" s="225" t="s">
        <v>4176</v>
      </c>
    </row>
    <row r="273" spans="1:12" s="257" customFormat="1" ht="57">
      <c r="A273" s="211" t="s">
        <v>3277</v>
      </c>
      <c r="B273" s="211" t="s">
        <v>2585</v>
      </c>
      <c r="C273" s="211" t="s">
        <v>3227</v>
      </c>
      <c r="D273" s="225" t="s">
        <v>3189</v>
      </c>
      <c r="E273" s="225" t="s">
        <v>4177</v>
      </c>
      <c r="F273" s="225" t="s">
        <v>4178</v>
      </c>
      <c r="G273" s="225" t="s">
        <v>4179</v>
      </c>
      <c r="H273" s="225" t="s">
        <v>4180</v>
      </c>
      <c r="I273" s="225" t="s">
        <v>4181</v>
      </c>
      <c r="J273" s="225" t="s">
        <v>4182</v>
      </c>
      <c r="K273" s="225" t="s">
        <v>4183</v>
      </c>
      <c r="L273" s="225" t="s">
        <v>4184</v>
      </c>
    </row>
    <row r="274" spans="1:12" s="257" customFormat="1" ht="57">
      <c r="A274" s="211" t="s">
        <v>3278</v>
      </c>
      <c r="B274" s="211" t="s">
        <v>2585</v>
      </c>
      <c r="C274" s="211" t="s">
        <v>3228</v>
      </c>
      <c r="D274" s="225" t="s">
        <v>3190</v>
      </c>
      <c r="E274" s="225" t="s">
        <v>4185</v>
      </c>
      <c r="F274" s="225" t="s">
        <v>4186</v>
      </c>
      <c r="G274" s="225" t="s">
        <v>4187</v>
      </c>
      <c r="H274" s="225" t="s">
        <v>4188</v>
      </c>
      <c r="I274" s="225" t="s">
        <v>4189</v>
      </c>
      <c r="J274" s="225" t="s">
        <v>4190</v>
      </c>
      <c r="K274" s="225" t="s">
        <v>4191</v>
      </c>
      <c r="L274" s="225" t="s">
        <v>4192</v>
      </c>
    </row>
    <row r="275" spans="1:12" s="257" customFormat="1" ht="57">
      <c r="A275" s="211" t="s">
        <v>3279</v>
      </c>
      <c r="B275" s="211" t="s">
        <v>2585</v>
      </c>
      <c r="C275" s="211" t="s">
        <v>3229</v>
      </c>
      <c r="D275" s="225" t="s">
        <v>3191</v>
      </c>
      <c r="E275" s="225" t="s">
        <v>4193</v>
      </c>
      <c r="F275" s="225" t="s">
        <v>4194</v>
      </c>
      <c r="G275" s="225" t="s">
        <v>4195</v>
      </c>
      <c r="H275" s="225" t="s">
        <v>4196</v>
      </c>
      <c r="I275" s="225" t="s">
        <v>4197</v>
      </c>
      <c r="J275" s="225" t="s">
        <v>4198</v>
      </c>
      <c r="K275" s="225" t="s">
        <v>4199</v>
      </c>
      <c r="L275" s="225" t="s">
        <v>4200</v>
      </c>
    </row>
    <row r="276" spans="1:12" s="257" customFormat="1" ht="57">
      <c r="A276" s="211" t="s">
        <v>3280</v>
      </c>
      <c r="B276" s="211" t="s">
        <v>2585</v>
      </c>
      <c r="C276" s="211" t="s">
        <v>3230</v>
      </c>
      <c r="D276" s="225" t="s">
        <v>3192</v>
      </c>
      <c r="E276" s="225" t="s">
        <v>4201</v>
      </c>
      <c r="F276" s="225" t="s">
        <v>4202</v>
      </c>
      <c r="G276" s="225" t="s">
        <v>4203</v>
      </c>
      <c r="H276" s="225" t="s">
        <v>4204</v>
      </c>
      <c r="I276" s="225" t="s">
        <v>4205</v>
      </c>
      <c r="J276" s="225" t="s">
        <v>4206</v>
      </c>
      <c r="K276" s="225" t="s">
        <v>4207</v>
      </c>
      <c r="L276" s="225" t="s">
        <v>4208</v>
      </c>
    </row>
    <row r="277" spans="1:12" s="257" customFormat="1" ht="71.25">
      <c r="A277" s="211" t="s">
        <v>3281</v>
      </c>
      <c r="B277" s="211" t="s">
        <v>2585</v>
      </c>
      <c r="C277" s="211" t="s">
        <v>3234</v>
      </c>
      <c r="D277" s="225" t="s">
        <v>3233</v>
      </c>
      <c r="E277" s="225" t="s">
        <v>4209</v>
      </c>
      <c r="F277" s="225" t="s">
        <v>4210</v>
      </c>
      <c r="G277" s="225" t="s">
        <v>4211</v>
      </c>
      <c r="H277" s="225" t="s">
        <v>4212</v>
      </c>
      <c r="I277" s="225" t="s">
        <v>4213</v>
      </c>
      <c r="J277" s="225" t="s">
        <v>4214</v>
      </c>
      <c r="K277" s="225" t="s">
        <v>4215</v>
      </c>
      <c r="L277" s="225" t="s">
        <v>4216</v>
      </c>
    </row>
    <row r="278" spans="1:12" s="257" customFormat="1" ht="85.5">
      <c r="A278" s="211" t="s">
        <v>3282</v>
      </c>
      <c r="B278" s="211" t="s">
        <v>2585</v>
      </c>
      <c r="C278" s="211" t="s">
        <v>3235</v>
      </c>
      <c r="D278" s="225" t="s">
        <v>3194</v>
      </c>
      <c r="E278" s="225" t="s">
        <v>4217</v>
      </c>
      <c r="F278" s="225" t="s">
        <v>4218</v>
      </c>
      <c r="G278" s="225" t="s">
        <v>4219</v>
      </c>
      <c r="H278" s="225" t="s">
        <v>4220</v>
      </c>
      <c r="I278" s="225" t="s">
        <v>4221</v>
      </c>
      <c r="J278" s="225" t="s">
        <v>4222</v>
      </c>
      <c r="K278" s="225" t="s">
        <v>4223</v>
      </c>
      <c r="L278" s="225" t="s">
        <v>4224</v>
      </c>
    </row>
    <row r="279" spans="1:12" s="257" customFormat="1" ht="71.25">
      <c r="A279" s="211" t="s">
        <v>3283</v>
      </c>
      <c r="B279" s="211" t="s">
        <v>2585</v>
      </c>
      <c r="C279" s="211" t="s">
        <v>3236</v>
      </c>
      <c r="D279" s="225" t="s">
        <v>3303</v>
      </c>
      <c r="E279" s="225" t="s">
        <v>4225</v>
      </c>
      <c r="F279" s="225" t="s">
        <v>4226</v>
      </c>
      <c r="G279" s="225" t="s">
        <v>4227</v>
      </c>
      <c r="H279" s="225" t="s">
        <v>4228</v>
      </c>
      <c r="I279" s="225" t="s">
        <v>4229</v>
      </c>
      <c r="J279" s="225" t="s">
        <v>4230</v>
      </c>
      <c r="K279" s="225" t="s">
        <v>4231</v>
      </c>
      <c r="L279" s="225" t="s">
        <v>4232</v>
      </c>
    </row>
    <row r="280" spans="1:12" s="257" customFormat="1" ht="57">
      <c r="A280" s="211" t="s">
        <v>3284</v>
      </c>
      <c r="B280" s="211" t="s">
        <v>2585</v>
      </c>
      <c r="C280" s="211" t="s">
        <v>3237</v>
      </c>
      <c r="D280" s="225" t="s">
        <v>3195</v>
      </c>
      <c r="E280" s="225" t="s">
        <v>4233</v>
      </c>
      <c r="F280" s="225" t="s">
        <v>4234</v>
      </c>
      <c r="G280" s="225" t="s">
        <v>4235</v>
      </c>
      <c r="H280" s="225" t="s">
        <v>4236</v>
      </c>
      <c r="I280" s="225" t="s">
        <v>4237</v>
      </c>
      <c r="J280" s="225" t="s">
        <v>4238</v>
      </c>
      <c r="K280" s="225" t="s">
        <v>4239</v>
      </c>
      <c r="L280" s="225" t="s">
        <v>4240</v>
      </c>
    </row>
    <row r="281" spans="1:12" s="257" customFormat="1" ht="114">
      <c r="A281" s="211" t="s">
        <v>3285</v>
      </c>
      <c r="B281" s="211" t="s">
        <v>2585</v>
      </c>
      <c r="C281" s="211" t="s">
        <v>3238</v>
      </c>
      <c r="D281" s="225" t="s">
        <v>3196</v>
      </c>
      <c r="E281" s="225" t="s">
        <v>4241</v>
      </c>
      <c r="F281" s="225" t="s">
        <v>4242</v>
      </c>
      <c r="G281" s="225" t="s">
        <v>4243</v>
      </c>
      <c r="H281" s="225" t="s">
        <v>4244</v>
      </c>
      <c r="I281" s="225" t="s">
        <v>4245</v>
      </c>
      <c r="J281" s="225" t="s">
        <v>4246</v>
      </c>
      <c r="K281" s="225" t="s">
        <v>4247</v>
      </c>
      <c r="L281" s="225" t="s">
        <v>4248</v>
      </c>
    </row>
    <row r="282" spans="1:12" s="257" customFormat="1" ht="71.25">
      <c r="A282" s="211" t="s">
        <v>3286</v>
      </c>
      <c r="B282" s="211" t="s">
        <v>2585</v>
      </c>
      <c r="C282" s="211" t="s">
        <v>3239</v>
      </c>
      <c r="D282" s="225" t="s">
        <v>3193</v>
      </c>
      <c r="E282" s="225" t="s">
        <v>4249</v>
      </c>
      <c r="F282" s="225" t="s">
        <v>4250</v>
      </c>
      <c r="G282" s="225" t="s">
        <v>4251</v>
      </c>
      <c r="H282" s="225" t="s">
        <v>4252</v>
      </c>
      <c r="I282" s="225" t="s">
        <v>4253</v>
      </c>
      <c r="J282" s="225" t="s">
        <v>4254</v>
      </c>
      <c r="K282" s="225" t="s">
        <v>4255</v>
      </c>
      <c r="L282" s="225" t="s">
        <v>4256</v>
      </c>
    </row>
    <row r="283" spans="1:12" s="257" customFormat="1" ht="71.25">
      <c r="A283" s="211" t="s">
        <v>3287</v>
      </c>
      <c r="B283" s="211" t="s">
        <v>2585</v>
      </c>
      <c r="C283" s="211" t="s">
        <v>3240</v>
      </c>
      <c r="D283" s="225" t="s">
        <v>3197</v>
      </c>
      <c r="E283" s="225" t="s">
        <v>4257</v>
      </c>
      <c r="F283" s="225" t="s">
        <v>4258</v>
      </c>
      <c r="G283" s="225" t="s">
        <v>4259</v>
      </c>
      <c r="H283" s="225" t="s">
        <v>4260</v>
      </c>
      <c r="I283" s="225" t="s">
        <v>4261</v>
      </c>
      <c r="J283" s="225" t="s">
        <v>4262</v>
      </c>
      <c r="K283" s="225" t="s">
        <v>4263</v>
      </c>
      <c r="L283" s="225" t="s">
        <v>4264</v>
      </c>
    </row>
    <row r="284" spans="1:12" s="257" customFormat="1" ht="57">
      <c r="A284" s="211" t="s">
        <v>3288</v>
      </c>
      <c r="B284" s="211" t="s">
        <v>2585</v>
      </c>
      <c r="C284" s="211" t="s">
        <v>3241</v>
      </c>
      <c r="D284" s="225" t="s">
        <v>3198</v>
      </c>
      <c r="E284" s="225" t="s">
        <v>4265</v>
      </c>
      <c r="F284" s="225" t="s">
        <v>4266</v>
      </c>
      <c r="G284" s="225" t="s">
        <v>4267</v>
      </c>
      <c r="H284" s="225" t="s">
        <v>4268</v>
      </c>
      <c r="I284" s="225" t="s">
        <v>4269</v>
      </c>
      <c r="J284" s="225" t="s">
        <v>4270</v>
      </c>
      <c r="K284" s="225" t="s">
        <v>4271</v>
      </c>
      <c r="L284" s="225" t="s">
        <v>4272</v>
      </c>
    </row>
    <row r="285" spans="1:12" s="257" customFormat="1" ht="57">
      <c r="A285" s="211" t="s">
        <v>3289</v>
      </c>
      <c r="B285" s="211" t="s">
        <v>2585</v>
      </c>
      <c r="C285" s="211" t="s">
        <v>3242</v>
      </c>
      <c r="D285" s="225" t="s">
        <v>3199</v>
      </c>
      <c r="E285" s="225" t="s">
        <v>4273</v>
      </c>
      <c r="F285" s="225" t="s">
        <v>4274</v>
      </c>
      <c r="G285" s="225" t="s">
        <v>4275</v>
      </c>
      <c r="H285" s="225" t="s">
        <v>4276</v>
      </c>
      <c r="I285" s="225" t="s">
        <v>4277</v>
      </c>
      <c r="J285" s="225" t="s">
        <v>4278</v>
      </c>
      <c r="K285" s="225" t="s">
        <v>4279</v>
      </c>
      <c r="L285" s="225" t="s">
        <v>4280</v>
      </c>
    </row>
    <row r="286" spans="1:12" s="257" customFormat="1" ht="57">
      <c r="A286" s="211" t="s">
        <v>3290</v>
      </c>
      <c r="B286" s="211" t="s">
        <v>2585</v>
      </c>
      <c r="C286" s="211" t="s">
        <v>3243</v>
      </c>
      <c r="D286" s="225" t="s">
        <v>3200</v>
      </c>
      <c r="E286" s="225" t="s">
        <v>4281</v>
      </c>
      <c r="F286" s="225" t="s">
        <v>4282</v>
      </c>
      <c r="G286" s="225" t="s">
        <v>4283</v>
      </c>
      <c r="H286" s="225" t="s">
        <v>4284</v>
      </c>
      <c r="I286" s="225" t="s">
        <v>4285</v>
      </c>
      <c r="J286" s="225" t="s">
        <v>4286</v>
      </c>
      <c r="K286" s="225" t="s">
        <v>4287</v>
      </c>
      <c r="L286" s="225" t="s">
        <v>4288</v>
      </c>
    </row>
    <row r="287" spans="1:12" s="257" customFormat="1" ht="57">
      <c r="A287" s="211" t="s">
        <v>3291</v>
      </c>
      <c r="B287" s="211" t="s">
        <v>2585</v>
      </c>
      <c r="C287" s="211" t="s">
        <v>3244</v>
      </c>
      <c r="D287" s="225" t="s">
        <v>3201</v>
      </c>
      <c r="E287" s="225" t="s">
        <v>4289</v>
      </c>
      <c r="F287" s="225" t="s">
        <v>4290</v>
      </c>
      <c r="G287" s="225" t="s">
        <v>4291</v>
      </c>
      <c r="H287" s="225" t="s">
        <v>4292</v>
      </c>
      <c r="I287" s="225" t="s">
        <v>4293</v>
      </c>
      <c r="J287" s="225" t="s">
        <v>4294</v>
      </c>
      <c r="K287" s="225" t="s">
        <v>4295</v>
      </c>
      <c r="L287" s="225" t="s">
        <v>4296</v>
      </c>
    </row>
    <row r="288" spans="1:12" s="257" customFormat="1" ht="60" customHeight="1">
      <c r="A288" s="211" t="s">
        <v>3292</v>
      </c>
      <c r="B288" s="211" t="s">
        <v>2585</v>
      </c>
      <c r="C288" s="211" t="s">
        <v>3245</v>
      </c>
      <c r="D288" s="225" t="s">
        <v>3203</v>
      </c>
      <c r="E288" s="225" t="s">
        <v>4297</v>
      </c>
      <c r="F288" s="225" t="s">
        <v>4298</v>
      </c>
      <c r="G288" s="225" t="s">
        <v>4299</v>
      </c>
      <c r="H288" s="225" t="s">
        <v>4300</v>
      </c>
      <c r="I288" s="225" t="s">
        <v>4301</v>
      </c>
      <c r="J288" s="225" t="s">
        <v>4302</v>
      </c>
      <c r="K288" s="225" t="s">
        <v>4303</v>
      </c>
      <c r="L288" s="225" t="s">
        <v>4304</v>
      </c>
    </row>
    <row r="289" spans="1:12" s="257" customFormat="1" ht="60" customHeight="1">
      <c r="A289" s="211"/>
      <c r="B289" s="211"/>
      <c r="C289" s="211"/>
      <c r="D289" s="225" t="s">
        <v>3202</v>
      </c>
      <c r="E289" s="225" t="s">
        <v>4305</v>
      </c>
      <c r="F289" s="225" t="s">
        <v>4306</v>
      </c>
      <c r="G289" s="225" t="s">
        <v>4307</v>
      </c>
      <c r="H289" s="225" t="s">
        <v>4308</v>
      </c>
      <c r="I289" s="225" t="s">
        <v>4309</v>
      </c>
      <c r="J289" s="225" t="s">
        <v>4310</v>
      </c>
      <c r="K289" s="225" t="s">
        <v>4311</v>
      </c>
      <c r="L289" s="225" t="s">
        <v>4312</v>
      </c>
    </row>
    <row r="290" spans="1:12" s="257" customFormat="1" ht="57">
      <c r="A290" s="211" t="s">
        <v>3293</v>
      </c>
      <c r="B290" s="211" t="s">
        <v>2585</v>
      </c>
      <c r="C290" s="211" t="s">
        <v>3246</v>
      </c>
      <c r="D290" s="225" t="s">
        <v>3320</v>
      </c>
      <c r="E290" s="225" t="s">
        <v>4313</v>
      </c>
      <c r="F290" s="225" t="s">
        <v>4314</v>
      </c>
      <c r="G290" s="294" t="s">
        <v>4467</v>
      </c>
      <c r="H290" s="225" t="s">
        <v>4315</v>
      </c>
      <c r="I290" s="225" t="s">
        <v>4316</v>
      </c>
      <c r="J290" s="225" t="s">
        <v>4317</v>
      </c>
      <c r="K290" s="225" t="s">
        <v>4318</v>
      </c>
      <c r="L290" s="225" t="s">
        <v>4319</v>
      </c>
    </row>
    <row r="291" spans="1:12" s="257" customFormat="1" ht="57">
      <c r="A291" s="211" t="s">
        <v>3839</v>
      </c>
      <c r="B291" s="211" t="s">
        <v>2585</v>
      </c>
      <c r="C291" s="211" t="s">
        <v>3317</v>
      </c>
      <c r="D291" s="225" t="s">
        <v>3321</v>
      </c>
      <c r="E291" s="225" t="s">
        <v>4320</v>
      </c>
      <c r="F291" s="225" t="s">
        <v>4321</v>
      </c>
      <c r="G291" s="294" t="s">
        <v>4468</v>
      </c>
      <c r="H291" s="225" t="s">
        <v>4322</v>
      </c>
      <c r="I291" s="225" t="s">
        <v>4323</v>
      </c>
      <c r="J291" s="225" t="s">
        <v>4324</v>
      </c>
      <c r="K291" s="225" t="s">
        <v>4325</v>
      </c>
      <c r="L291" s="225" t="s">
        <v>4326</v>
      </c>
    </row>
    <row r="292" spans="1:12" s="257" customFormat="1" ht="57">
      <c r="A292" s="211" t="s">
        <v>3840</v>
      </c>
      <c r="B292" s="211" t="s">
        <v>2585</v>
      </c>
      <c r="C292" s="211" t="s">
        <v>3318</v>
      </c>
      <c r="D292" s="225" t="s">
        <v>3322</v>
      </c>
      <c r="E292" s="225" t="s">
        <v>4327</v>
      </c>
      <c r="F292" s="225" t="s">
        <v>4328</v>
      </c>
      <c r="G292" s="294" t="s">
        <v>4470</v>
      </c>
      <c r="H292" s="225" t="s">
        <v>4329</v>
      </c>
      <c r="I292" s="225" t="s">
        <v>4330</v>
      </c>
      <c r="J292" s="225" t="s">
        <v>4331</v>
      </c>
      <c r="K292" s="225" t="s">
        <v>4332</v>
      </c>
      <c r="L292" s="225" t="s">
        <v>4333</v>
      </c>
    </row>
    <row r="293" spans="1:12" s="257" customFormat="1" ht="57">
      <c r="A293" s="211" t="s">
        <v>3841</v>
      </c>
      <c r="B293" s="211" t="s">
        <v>2585</v>
      </c>
      <c r="C293" s="211" t="s">
        <v>3319</v>
      </c>
      <c r="D293" s="225" t="s">
        <v>3323</v>
      </c>
      <c r="E293" s="225" t="s">
        <v>4334</v>
      </c>
      <c r="F293" s="225" t="s">
        <v>4335</v>
      </c>
      <c r="G293" s="294" t="s">
        <v>4469</v>
      </c>
      <c r="H293" s="225" t="s">
        <v>4336</v>
      </c>
      <c r="I293" s="225" t="s">
        <v>4337</v>
      </c>
      <c r="J293" s="225" t="s">
        <v>4338</v>
      </c>
      <c r="K293" s="225" t="s">
        <v>4339</v>
      </c>
      <c r="L293" s="225" t="s">
        <v>4340</v>
      </c>
    </row>
    <row r="294" spans="1:12" s="260" customFormat="1" ht="30">
      <c r="A294" s="212" t="str">
        <f t="shared" ref="A294:A302" si="10">B294&amp;C294</f>
        <v>CheckerL62</v>
      </c>
      <c r="B294" s="212" t="s">
        <v>2585</v>
      </c>
      <c r="C294" s="212" t="s">
        <v>4361</v>
      </c>
      <c r="D294" s="212" t="s">
        <v>4360</v>
      </c>
      <c r="E294" s="263" t="s">
        <v>4365</v>
      </c>
      <c r="F294" s="264" t="s">
        <v>4366</v>
      </c>
      <c r="G294" s="273" t="s">
        <v>4466</v>
      </c>
      <c r="H294" s="212" t="s">
        <v>4367</v>
      </c>
      <c r="I294" s="212" t="s">
        <v>4368</v>
      </c>
      <c r="J294" s="212" t="s">
        <v>4369</v>
      </c>
      <c r="K294" s="265" t="s">
        <v>4370</v>
      </c>
      <c r="L294" s="265" t="s">
        <v>4371</v>
      </c>
    </row>
    <row r="295" spans="1:12" s="260" customFormat="1" ht="30">
      <c r="A295" s="212" t="str">
        <f t="shared" si="10"/>
        <v>CheckerL63</v>
      </c>
      <c r="B295" s="212" t="s">
        <v>2585</v>
      </c>
      <c r="C295" s="212" t="s">
        <v>4362</v>
      </c>
      <c r="D295" s="212" t="s">
        <v>4360</v>
      </c>
      <c r="E295" s="263" t="s">
        <v>4365</v>
      </c>
      <c r="F295" s="264" t="s">
        <v>4366</v>
      </c>
      <c r="G295" s="273" t="s">
        <v>4466</v>
      </c>
      <c r="H295" s="212" t="s">
        <v>4367</v>
      </c>
      <c r="I295" s="212" t="s">
        <v>4368</v>
      </c>
      <c r="J295" s="212" t="s">
        <v>4369</v>
      </c>
      <c r="K295" s="265" t="s">
        <v>4370</v>
      </c>
      <c r="L295" s="265" t="s">
        <v>4371</v>
      </c>
    </row>
    <row r="296" spans="1:12" s="261" customFormat="1" ht="30">
      <c r="A296" s="212" t="str">
        <f t="shared" si="10"/>
        <v>CheckerL64</v>
      </c>
      <c r="B296" s="212" t="s">
        <v>2585</v>
      </c>
      <c r="C296" s="212" t="s">
        <v>4363</v>
      </c>
      <c r="D296" s="212" t="s">
        <v>4360</v>
      </c>
      <c r="E296" s="263" t="s">
        <v>4365</v>
      </c>
      <c r="F296" s="264" t="s">
        <v>4366</v>
      </c>
      <c r="G296" s="273" t="s">
        <v>4466</v>
      </c>
      <c r="H296" s="212" t="s">
        <v>4367</v>
      </c>
      <c r="I296" s="212" t="s">
        <v>4368</v>
      </c>
      <c r="J296" s="212" t="s">
        <v>4369</v>
      </c>
      <c r="K296" s="265" t="s">
        <v>4370</v>
      </c>
      <c r="L296" s="265" t="s">
        <v>4371</v>
      </c>
    </row>
    <row r="297" spans="1:12" s="261" customFormat="1" ht="30">
      <c r="A297" s="212" t="str">
        <f t="shared" si="10"/>
        <v>CheckerL65</v>
      </c>
      <c r="B297" s="212" t="s">
        <v>2585</v>
      </c>
      <c r="C297" s="212" t="s">
        <v>4364</v>
      </c>
      <c r="D297" s="212" t="s">
        <v>4360</v>
      </c>
      <c r="E297" s="263" t="s">
        <v>4365</v>
      </c>
      <c r="F297" s="264" t="s">
        <v>4366</v>
      </c>
      <c r="G297" s="273" t="s">
        <v>4466</v>
      </c>
      <c r="H297" s="212" t="s">
        <v>4367</v>
      </c>
      <c r="I297" s="212" t="s">
        <v>4368</v>
      </c>
      <c r="J297" s="212" t="s">
        <v>4369</v>
      </c>
      <c r="K297" s="265" t="s">
        <v>4370</v>
      </c>
      <c r="L297" s="265" t="s">
        <v>4371</v>
      </c>
    </row>
    <row r="298" spans="1:12" ht="57">
      <c r="A298" s="212" t="str">
        <f t="shared" si="10"/>
        <v>Product ListA1</v>
      </c>
      <c r="B298" s="212" t="s">
        <v>2670</v>
      </c>
      <c r="C298" s="212" t="s">
        <v>1295</v>
      </c>
      <c r="D298" s="219" t="s">
        <v>1325</v>
      </c>
      <c r="E298" s="208" t="s">
        <v>512</v>
      </c>
      <c r="F298" s="208" t="s">
        <v>674</v>
      </c>
      <c r="G298" s="212" t="s">
        <v>1112</v>
      </c>
      <c r="H298" s="212" t="s">
        <v>766</v>
      </c>
      <c r="I298" s="212" t="s">
        <v>419</v>
      </c>
      <c r="J298" s="226" t="s">
        <v>2755</v>
      </c>
      <c r="K298" s="223" t="s">
        <v>188</v>
      </c>
      <c r="L298" s="218" t="s">
        <v>112</v>
      </c>
    </row>
    <row r="299" spans="1:12" ht="17.25">
      <c r="A299" s="212" t="str">
        <f t="shared" si="10"/>
        <v>Product ListB5</v>
      </c>
      <c r="B299" s="212" t="s">
        <v>2670</v>
      </c>
      <c r="C299" s="212" t="s">
        <v>1954</v>
      </c>
      <c r="D299" s="219" t="s">
        <v>1019</v>
      </c>
      <c r="E299" s="208" t="s">
        <v>2944</v>
      </c>
      <c r="F299" s="208" t="s">
        <v>675</v>
      </c>
      <c r="G299" s="212" t="s">
        <v>1113</v>
      </c>
      <c r="H299" s="212" t="s">
        <v>767</v>
      </c>
      <c r="I299" s="212" t="s">
        <v>420</v>
      </c>
      <c r="J299" s="219" t="s">
        <v>2480</v>
      </c>
      <c r="K299" s="223" t="s">
        <v>189</v>
      </c>
      <c r="L299" s="220" t="s">
        <v>113</v>
      </c>
    </row>
    <row r="300" spans="1:12" ht="28.5">
      <c r="A300" s="212" t="str">
        <f t="shared" si="10"/>
        <v>Product ListC5</v>
      </c>
      <c r="B300" s="212" t="s">
        <v>2670</v>
      </c>
      <c r="C300" s="212" t="s">
        <v>1975</v>
      </c>
      <c r="D300" s="219" t="s">
        <v>1020</v>
      </c>
      <c r="E300" s="208" t="s">
        <v>513</v>
      </c>
      <c r="F300" s="208" t="s">
        <v>676</v>
      </c>
      <c r="G300" s="212" t="s">
        <v>1114</v>
      </c>
      <c r="H300" s="212" t="s">
        <v>768</v>
      </c>
      <c r="I300" s="212" t="s">
        <v>421</v>
      </c>
      <c r="J300" s="219" t="s">
        <v>1937</v>
      </c>
      <c r="K300" s="223" t="s">
        <v>190</v>
      </c>
      <c r="L300" s="220" t="s">
        <v>114</v>
      </c>
    </row>
    <row r="301" spans="1:12">
      <c r="A301" s="212" t="str">
        <f t="shared" si="10"/>
        <v>Product ListD5</v>
      </c>
      <c r="B301" s="212" t="s">
        <v>2670</v>
      </c>
      <c r="C301" s="212" t="s">
        <v>2671</v>
      </c>
      <c r="D301" s="219" t="s">
        <v>1604</v>
      </c>
      <c r="E301" s="212" t="s">
        <v>514</v>
      </c>
      <c r="F301" s="208" t="s">
        <v>2142</v>
      </c>
      <c r="G301" s="212" t="s">
        <v>1918</v>
      </c>
      <c r="H301" s="212" t="s">
        <v>1919</v>
      </c>
      <c r="I301" s="212" t="s">
        <v>1920</v>
      </c>
      <c r="J301" s="219" t="s">
        <v>2051</v>
      </c>
      <c r="K301" s="223" t="s">
        <v>1921</v>
      </c>
      <c r="L301" s="220" t="s">
        <v>956</v>
      </c>
    </row>
    <row r="302" spans="1:12" ht="28.5">
      <c r="A302" s="212" t="str">
        <f t="shared" si="10"/>
        <v>GeneralCpy</v>
      </c>
      <c r="B302" s="212" t="s">
        <v>996</v>
      </c>
      <c r="C302" s="212" t="s">
        <v>997</v>
      </c>
      <c r="D302" s="212" t="s">
        <v>2910</v>
      </c>
      <c r="E302" s="212" t="s">
        <v>2910</v>
      </c>
      <c r="F302" s="212" t="s">
        <v>2910</v>
      </c>
      <c r="G302" s="212" t="s">
        <v>2910</v>
      </c>
      <c r="H302" s="212" t="s">
        <v>2910</v>
      </c>
      <c r="I302" s="212" t="s">
        <v>2910</v>
      </c>
      <c r="J302" s="212" t="s">
        <v>2910</v>
      </c>
      <c r="K302" s="212" t="s">
        <v>2910</v>
      </c>
      <c r="L302" s="213" t="s">
        <v>214</v>
      </c>
    </row>
    <row r="303" spans="1:12">
      <c r="A303" s="212" t="s">
        <v>3134</v>
      </c>
      <c r="B303" s="212" t="s">
        <v>996</v>
      </c>
      <c r="C303" s="212"/>
      <c r="D303" s="212"/>
    </row>
    <row r="304" spans="1:12">
      <c r="A304" s="212"/>
      <c r="B304" s="212"/>
      <c r="C304" s="212"/>
      <c r="D304" s="212"/>
    </row>
    <row r="305" spans="1:12" ht="99.75">
      <c r="A305" s="212" t="s">
        <v>1604</v>
      </c>
      <c r="B305" s="212"/>
      <c r="C305" s="212"/>
      <c r="D305" s="212" t="s">
        <v>518</v>
      </c>
      <c r="E305" s="212" t="s">
        <v>519</v>
      </c>
      <c r="F305" s="212" t="s">
        <v>520</v>
      </c>
      <c r="G305" s="212" t="s">
        <v>521</v>
      </c>
      <c r="H305" s="212" t="s">
        <v>771</v>
      </c>
      <c r="I305" s="212" t="s">
        <v>422</v>
      </c>
      <c r="J305" s="212" t="s">
        <v>2756</v>
      </c>
      <c r="K305" s="212" t="s">
        <v>191</v>
      </c>
      <c r="L305" s="213" t="s">
        <v>116</v>
      </c>
    </row>
    <row r="306" spans="1:12" ht="28.5">
      <c r="A306" s="212" t="s">
        <v>1604</v>
      </c>
      <c r="B306" s="212"/>
      <c r="C306" s="212"/>
      <c r="D306" s="212" t="s">
        <v>539</v>
      </c>
      <c r="E306" s="212" t="s">
        <v>559</v>
      </c>
      <c r="F306" s="212" t="s">
        <v>564</v>
      </c>
      <c r="G306" s="223" t="s">
        <v>560</v>
      </c>
      <c r="H306" s="212" t="s">
        <v>209</v>
      </c>
      <c r="I306" s="212" t="s">
        <v>424</v>
      </c>
      <c r="J306" s="212" t="s">
        <v>2757</v>
      </c>
      <c r="K306" s="212" t="s">
        <v>197</v>
      </c>
      <c r="L306" s="224" t="s">
        <v>557</v>
      </c>
    </row>
    <row r="307" spans="1:12" ht="42.75">
      <c r="A307" s="212" t="s">
        <v>1604</v>
      </c>
      <c r="B307" s="212"/>
      <c r="C307" s="212"/>
      <c r="D307" s="212" t="s">
        <v>540</v>
      </c>
      <c r="E307" s="212" t="s">
        <v>541</v>
      </c>
      <c r="F307" s="212" t="s">
        <v>565</v>
      </c>
      <c r="G307" s="223" t="s">
        <v>561</v>
      </c>
      <c r="H307" s="212" t="s">
        <v>210</v>
      </c>
      <c r="I307" s="212" t="s">
        <v>425</v>
      </c>
      <c r="J307" s="212" t="s">
        <v>2782</v>
      </c>
      <c r="K307" s="212" t="s">
        <v>198</v>
      </c>
      <c r="L307" s="224" t="s">
        <v>542</v>
      </c>
    </row>
    <row r="308" spans="1:12" ht="85.5">
      <c r="A308" s="212" t="s">
        <v>1604</v>
      </c>
      <c r="B308" s="212"/>
      <c r="C308" s="212"/>
      <c r="D308" s="212" t="s">
        <v>533</v>
      </c>
      <c r="E308" s="212" t="s">
        <v>534</v>
      </c>
      <c r="F308" s="212" t="s">
        <v>535</v>
      </c>
      <c r="G308" s="223" t="s">
        <v>562</v>
      </c>
      <c r="H308" s="212" t="s">
        <v>211</v>
      </c>
      <c r="I308" s="212" t="s">
        <v>426</v>
      </c>
      <c r="J308" s="212" t="s">
        <v>536</v>
      </c>
      <c r="K308" s="212" t="s">
        <v>537</v>
      </c>
      <c r="L308" s="224" t="s">
        <v>538</v>
      </c>
    </row>
    <row r="309" spans="1:12" ht="28.5">
      <c r="A309" s="212" t="s">
        <v>1604</v>
      </c>
      <c r="B309" s="212"/>
      <c r="C309" s="212"/>
      <c r="D309" s="212" t="s">
        <v>522</v>
      </c>
      <c r="E309" s="212" t="s">
        <v>523</v>
      </c>
      <c r="F309" s="212" t="s">
        <v>566</v>
      </c>
      <c r="G309" s="223" t="s">
        <v>524</v>
      </c>
      <c r="H309" s="212" t="s">
        <v>212</v>
      </c>
      <c r="I309" s="212" t="s">
        <v>427</v>
      </c>
      <c r="J309" s="212" t="s">
        <v>2758</v>
      </c>
      <c r="K309" s="212" t="s">
        <v>201</v>
      </c>
      <c r="L309" s="224" t="s">
        <v>558</v>
      </c>
    </row>
    <row r="310" spans="1:12" ht="42.75">
      <c r="A310" s="212" t="s">
        <v>1604</v>
      </c>
      <c r="B310" s="212"/>
      <c r="C310" s="212"/>
      <c r="D310" s="212" t="s">
        <v>525</v>
      </c>
      <c r="E310" s="212" t="s">
        <v>526</v>
      </c>
      <c r="F310" s="212" t="s">
        <v>567</v>
      </c>
      <c r="G310" s="223" t="s">
        <v>527</v>
      </c>
      <c r="H310" s="212" t="s">
        <v>213</v>
      </c>
      <c r="I310" s="212" t="s">
        <v>428</v>
      </c>
      <c r="J310" s="212" t="s">
        <v>2759</v>
      </c>
      <c r="K310" s="212" t="s">
        <v>199</v>
      </c>
      <c r="L310" s="224" t="s">
        <v>528</v>
      </c>
    </row>
    <row r="311" spans="1:12" ht="114">
      <c r="A311" s="212" t="s">
        <v>1604</v>
      </c>
      <c r="B311" s="212"/>
      <c r="C311" s="212"/>
      <c r="D311" s="212" t="s">
        <v>532</v>
      </c>
      <c r="E311" s="212" t="s">
        <v>529</v>
      </c>
      <c r="F311" s="212" t="s">
        <v>568</v>
      </c>
      <c r="G311" s="223" t="s">
        <v>563</v>
      </c>
      <c r="H311" s="212" t="s">
        <v>530</v>
      </c>
      <c r="I311" s="212" t="s">
        <v>429</v>
      </c>
      <c r="J311" s="212" t="s">
        <v>2760</v>
      </c>
      <c r="K311" s="212" t="s">
        <v>200</v>
      </c>
      <c r="L311" s="224" t="s">
        <v>531</v>
      </c>
    </row>
  </sheetData>
  <phoneticPr fontId="3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502"/>
  <sheetViews>
    <sheetView workbookViewId="0">
      <pane ySplit="4" topLeftCell="A23" activePane="bottomLeft" state="frozen"/>
      <selection pane="bottomLeft" activeCell="A40" sqref="A40:XFD41"/>
    </sheetView>
  </sheetViews>
  <sheetFormatPr defaultColWidth="8.75" defaultRowHeight="10.5"/>
  <cols>
    <col min="1" max="1" width="9.25" style="51" bestFit="1" customWidth="1"/>
    <col min="2" max="2" width="42.875" style="51" customWidth="1"/>
    <col min="3" max="3" width="40.25" style="51" customWidth="1"/>
    <col min="4" max="4" width="23.875" style="51" customWidth="1"/>
    <col min="5" max="5" width="12.625" style="51" customWidth="1"/>
    <col min="6" max="6" width="12.625" style="237" customWidth="1"/>
    <col min="7" max="7" width="15.375" style="51" customWidth="1"/>
    <col min="8" max="8" width="20.625" style="51" customWidth="1"/>
    <col min="9" max="9" width="20.875" style="51" customWidth="1"/>
    <col min="10" max="10" width="11.875" style="51" hidden="1" customWidth="1"/>
    <col min="11" max="11" width="24.25" style="51" customWidth="1"/>
    <col min="12" max="12" width="17.5" style="51" customWidth="1"/>
    <col min="13" max="13" width="16.25" style="51" customWidth="1"/>
    <col min="14" max="16384" width="8.75" style="51"/>
  </cols>
  <sheetData>
    <row r="1" spans="1:13" ht="134.25" customHeight="1">
      <c r="A1" s="399" t="str">
        <f ca="1">OFFSET(L!$C$1,MATCH("Smelter Reference List"&amp;ADDRESS(ROW(),COLUMN(),4),L!$A:$A,0)-1,SL,,)</f>
        <v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399"/>
      <c r="C1" s="399"/>
      <c r="D1" s="399"/>
      <c r="E1" s="399"/>
      <c r="F1" s="399"/>
      <c r="G1" s="399"/>
    </row>
    <row r="4" spans="1:13" s="298" customFormat="1" ht="42">
      <c r="A4" s="243" t="str">
        <f ca="1">OFFSET(L!$C$1,MATCH("Smelter Reference List"&amp;ADDRESS(ROW(),COLUMN(),4),L!$A:$A,0)-1,SL,,)</f>
        <v>Metal</v>
      </c>
      <c r="B4" s="243" t="str">
        <f ca="1">OFFSET(L!$C$1,MATCH("Smelter Reference List"&amp;ADDRESS(ROW(),COLUMN(),4),L!$A:$A,0)-1,SL,,)</f>
        <v>Smelter Reference List</v>
      </c>
      <c r="C4" s="243" t="str">
        <f ca="1">OFFSET(L!$C$1,MATCH("Smelter Reference List"&amp;ADDRESS(ROW(),COLUMN(),4),L!$A:$A,0)-1,SL,,)</f>
        <v>Standard Smelter Names</v>
      </c>
      <c r="D4" s="243" t="str">
        <f ca="1">OFFSET(L!$C$1,MATCH("Smelter Reference List"&amp;ADDRESS(ROW(),COLUMN(),4),L!$A:$A,0)-1,SL,,)</f>
        <v>Smelter Facility Location: Country</v>
      </c>
      <c r="E4" s="243" t="str">
        <f ca="1">OFFSET(L!$C$1,MATCH("Smelter Reference List"&amp;ADDRESS(ROW(),COLUMN(),4),L!$A:$A,0)-1,SL,,)</f>
        <v>New Smelter ID</v>
      </c>
      <c r="F4" s="243" t="str">
        <f ca="1">OFFSET(L!$C$1,MATCH("Smelter Reference List"&amp;ADDRESS(ROW(),COLUMN(),4),L!$A:$A,0)-1,SL,,)</f>
        <v>Source of Smelter Identification Number</v>
      </c>
      <c r="G4" s="243" t="str">
        <f ca="1">OFFSET(L!$C$1,MATCH("Smelter Reference List"&amp;ADDRESS(ROW(),COLUMN(),4),L!$A:$A,0)-1,SL,,)</f>
        <v xml:space="preserve">Smelter Street </v>
      </c>
      <c r="H4" s="243" t="str">
        <f ca="1">OFFSET(L!$C$1,MATCH("Smelter Reference List"&amp;ADDRESS(ROW(),COLUMN(),4),L!$A:$A,0)-1,SL,,)</f>
        <v>Smelter City</v>
      </c>
      <c r="I4" s="243" t="str">
        <f ca="1">OFFSET(L!$C$1,MATCH("Smelter Reference List"&amp;ADDRESS(ROW(),COLUMN(),4),L!$A:$A,0)-1,SL,,)</f>
        <v>Smelter Facility Location: State / Province</v>
      </c>
      <c r="J4" s="243" t="s">
        <v>1561</v>
      </c>
      <c r="L4" s="300"/>
      <c r="M4" s="300"/>
    </row>
    <row r="5" spans="1:13" ht="10.5" customHeight="1">
      <c r="A5" s="51" t="s">
        <v>2436</v>
      </c>
      <c r="B5" s="51" t="s">
        <v>42</v>
      </c>
      <c r="C5" s="51" t="s">
        <v>1414</v>
      </c>
      <c r="D5" s="51" t="s">
        <v>1867</v>
      </c>
      <c r="E5" s="51" t="s">
        <v>1415</v>
      </c>
      <c r="F5" s="237" t="s">
        <v>3324</v>
      </c>
      <c r="H5" s="51" t="s">
        <v>3502</v>
      </c>
      <c r="I5" s="51" t="s">
        <v>3437</v>
      </c>
      <c r="J5" s="51" t="str">
        <f t="shared" ref="J5:J70" si="0">A5&amp;B5</f>
        <v>GoldAccurate Refining Group</v>
      </c>
    </row>
    <row r="6" spans="1:13" ht="10.5" customHeight="1">
      <c r="A6" s="51" t="s">
        <v>2436</v>
      </c>
      <c r="B6" s="52" t="s">
        <v>2819</v>
      </c>
      <c r="C6" s="52" t="s">
        <v>2819</v>
      </c>
      <c r="D6" s="52" t="s">
        <v>1867</v>
      </c>
      <c r="E6" s="51" t="s">
        <v>2820</v>
      </c>
      <c r="F6" s="237" t="s">
        <v>3324</v>
      </c>
      <c r="H6" s="51" t="s">
        <v>3325</v>
      </c>
      <c r="I6" s="51" t="s">
        <v>3326</v>
      </c>
      <c r="J6" s="51" t="str">
        <f t="shared" si="0"/>
        <v>GoldAdvanced Chemical Company</v>
      </c>
    </row>
    <row r="7" spans="1:13" ht="10.5" customHeight="1">
      <c r="A7" s="51" t="s">
        <v>2436</v>
      </c>
      <c r="B7" s="51" t="s">
        <v>3530</v>
      </c>
      <c r="C7" s="51" t="s">
        <v>2435</v>
      </c>
      <c r="D7" s="51" t="s">
        <v>2267</v>
      </c>
      <c r="E7" s="51" t="s">
        <v>1429</v>
      </c>
      <c r="F7" s="237" t="s">
        <v>3324</v>
      </c>
      <c r="H7" s="51" t="s">
        <v>3528</v>
      </c>
      <c r="I7" s="51" t="s">
        <v>3529</v>
      </c>
      <c r="J7" s="51" t="str">
        <f t="shared" si="0"/>
        <v>GoldAGR Mathey</v>
      </c>
    </row>
    <row r="8" spans="1:13" ht="10.5" customHeight="1">
      <c r="A8" s="51" t="s">
        <v>2436</v>
      </c>
      <c r="B8" s="51" t="s">
        <v>3531</v>
      </c>
      <c r="C8" s="51" t="s">
        <v>2435</v>
      </c>
      <c r="D8" s="51" t="s">
        <v>2267</v>
      </c>
      <c r="E8" s="51" t="s">
        <v>1429</v>
      </c>
      <c r="F8" s="237" t="s">
        <v>3324</v>
      </c>
      <c r="H8" s="51" t="s">
        <v>3528</v>
      </c>
      <c r="I8" s="51" t="s">
        <v>3529</v>
      </c>
      <c r="J8" s="51" t="str">
        <f t="shared" si="0"/>
        <v>GoldAGR(Perth Mint Australia)</v>
      </c>
    </row>
    <row r="9" spans="1:13" ht="10.5" customHeight="1">
      <c r="A9" s="51" t="s">
        <v>2436</v>
      </c>
      <c r="B9" s="52" t="s">
        <v>4394</v>
      </c>
      <c r="C9" s="52" t="s">
        <v>4394</v>
      </c>
      <c r="D9" s="52" t="s">
        <v>2362</v>
      </c>
      <c r="E9" s="51" t="s">
        <v>1328</v>
      </c>
      <c r="F9" s="237" t="s">
        <v>3324</v>
      </c>
      <c r="H9" s="51" t="s">
        <v>3327</v>
      </c>
      <c r="I9" s="51" t="s">
        <v>3328</v>
      </c>
      <c r="J9" s="51" t="str">
        <f t="shared" si="0"/>
        <v>GoldAida Chemical Industries Co., Ltd.</v>
      </c>
    </row>
    <row r="10" spans="1:13" ht="10.5" customHeight="1">
      <c r="A10" s="51" t="s">
        <v>2436</v>
      </c>
      <c r="B10" s="52" t="s">
        <v>2822</v>
      </c>
      <c r="C10" s="52" t="s">
        <v>2822</v>
      </c>
      <c r="D10" s="52" t="s">
        <v>2363</v>
      </c>
      <c r="E10" s="51" t="s">
        <v>2821</v>
      </c>
      <c r="F10" s="237" t="s">
        <v>3324</v>
      </c>
      <c r="H10" s="51" t="s">
        <v>3329</v>
      </c>
      <c r="I10" s="51" t="s">
        <v>3330</v>
      </c>
      <c r="J10" s="51" t="str">
        <f t="shared" si="0"/>
        <v>GoldAktyubinsk Copper Company TOO</v>
      </c>
    </row>
    <row r="11" spans="1:13" ht="10.5" customHeight="1">
      <c r="A11" s="51" t="s">
        <v>2436</v>
      </c>
      <c r="B11" s="51" t="s">
        <v>3566</v>
      </c>
      <c r="C11" s="51" t="s">
        <v>3566</v>
      </c>
      <c r="D11" s="51" t="s">
        <v>2260</v>
      </c>
      <c r="E11" s="51" t="s">
        <v>3567</v>
      </c>
      <c r="F11" s="237" t="s">
        <v>3324</v>
      </c>
      <c r="H11" s="51" t="s">
        <v>3568</v>
      </c>
      <c r="I11" s="51" t="s">
        <v>3568</v>
      </c>
      <c r="J11" s="51" t="str">
        <f t="shared" si="0"/>
        <v>GoldAl Etihad Gold Refinery DMCC</v>
      </c>
    </row>
    <row r="12" spans="1:13" ht="10.5" customHeight="1">
      <c r="A12" s="51" t="s">
        <v>2436</v>
      </c>
      <c r="B12" s="52" t="s">
        <v>85</v>
      </c>
      <c r="C12" s="52" t="s">
        <v>85</v>
      </c>
      <c r="D12" s="52" t="s">
        <v>2308</v>
      </c>
      <c r="E12" s="51" t="s">
        <v>1329</v>
      </c>
      <c r="F12" s="237" t="s">
        <v>3324</v>
      </c>
      <c r="H12" s="51" t="s">
        <v>3331</v>
      </c>
      <c r="I12" s="51" t="s">
        <v>3332</v>
      </c>
      <c r="J12" s="51" t="str">
        <f t="shared" si="0"/>
        <v>GoldAllgemeine Gold-und Silberscheideanstalt A.G.</v>
      </c>
    </row>
    <row r="13" spans="1:13" ht="10.5" customHeight="1">
      <c r="A13" s="51" t="s">
        <v>2436</v>
      </c>
      <c r="B13" s="52" t="s">
        <v>1274</v>
      </c>
      <c r="C13" s="52" t="s">
        <v>1274</v>
      </c>
      <c r="D13" s="52" t="s">
        <v>1868</v>
      </c>
      <c r="E13" s="51" t="s">
        <v>1330</v>
      </c>
      <c r="F13" s="237" t="s">
        <v>3324</v>
      </c>
      <c r="H13" s="51" t="s">
        <v>3333</v>
      </c>
      <c r="I13" s="51" t="s">
        <v>3334</v>
      </c>
      <c r="J13" s="51" t="str">
        <f t="shared" si="0"/>
        <v>GoldAlmalyk Mining and Metallurgical Complex (AMMC)</v>
      </c>
    </row>
    <row r="14" spans="1:13" ht="10.5" customHeight="1">
      <c r="A14" s="51" t="s">
        <v>2436</v>
      </c>
      <c r="B14" s="51" t="s">
        <v>3342</v>
      </c>
      <c r="C14" s="51" t="s">
        <v>1575</v>
      </c>
      <c r="D14" s="52" t="s">
        <v>2362</v>
      </c>
      <c r="E14" s="51" t="s">
        <v>1333</v>
      </c>
      <c r="F14" s="237" t="s">
        <v>3324</v>
      </c>
      <c r="H14" s="51" t="s">
        <v>3340</v>
      </c>
      <c r="I14" s="51" t="s">
        <v>3341</v>
      </c>
      <c r="J14" s="51" t="str">
        <f t="shared" si="0"/>
        <v>GoldAmagasaki Factory, Hyogo Prefecture, Japan</v>
      </c>
    </row>
    <row r="15" spans="1:13" ht="10.5" customHeight="1">
      <c r="A15" s="51" t="s">
        <v>2436</v>
      </c>
      <c r="B15" s="52" t="s">
        <v>3335</v>
      </c>
      <c r="C15" s="52" t="s">
        <v>3335</v>
      </c>
      <c r="D15" s="52" t="s">
        <v>2283</v>
      </c>
      <c r="E15" s="51" t="s">
        <v>1331</v>
      </c>
      <c r="F15" s="237" t="s">
        <v>3324</v>
      </c>
      <c r="H15" s="51" t="s">
        <v>3336</v>
      </c>
      <c r="I15" s="51" t="s">
        <v>3337</v>
      </c>
      <c r="J15" s="51" t="str">
        <f t="shared" si="0"/>
        <v>GoldAngloGold Ashanti Córrego do Sítio Mineração</v>
      </c>
    </row>
    <row r="16" spans="1:13" ht="10.5" customHeight="1">
      <c r="A16" s="51" t="s">
        <v>2436</v>
      </c>
      <c r="B16" s="51" t="s">
        <v>3518</v>
      </c>
      <c r="C16" s="51" t="s">
        <v>4500</v>
      </c>
      <c r="D16" s="51" t="s">
        <v>2294</v>
      </c>
      <c r="E16" s="51" t="s">
        <v>1423</v>
      </c>
      <c r="F16" s="237" t="s">
        <v>3324</v>
      </c>
      <c r="H16" s="51" t="s">
        <v>3516</v>
      </c>
      <c r="I16" s="51" t="s">
        <v>3517</v>
      </c>
      <c r="J16" s="51" t="str">
        <f t="shared" si="0"/>
        <v>GoldAnhui Tongling Nonferrous Metal Mining Co., Ltd.</v>
      </c>
    </row>
    <row r="17" spans="1:10" ht="10.5" customHeight="1">
      <c r="A17" s="51" t="s">
        <v>2436</v>
      </c>
      <c r="B17" s="51" t="s">
        <v>3532</v>
      </c>
      <c r="C17" s="51" t="s">
        <v>2435</v>
      </c>
      <c r="D17" s="51" t="s">
        <v>2267</v>
      </c>
      <c r="E17" s="51" t="s">
        <v>1429</v>
      </c>
      <c r="F17" s="237" t="s">
        <v>3324</v>
      </c>
      <c r="H17" s="51" t="s">
        <v>3528</v>
      </c>
      <c r="I17" s="51" t="s">
        <v>3529</v>
      </c>
      <c r="J17" s="51" t="str">
        <f t="shared" si="0"/>
        <v>GoldANZ (Perth Mint 4N)</v>
      </c>
    </row>
    <row r="18" spans="1:10" ht="10.5" customHeight="1">
      <c r="A18" s="51" t="s">
        <v>2436</v>
      </c>
      <c r="B18" s="52" t="s">
        <v>2562</v>
      </c>
      <c r="C18" s="52" t="s">
        <v>2562</v>
      </c>
      <c r="D18" s="52" t="s">
        <v>2292</v>
      </c>
      <c r="E18" s="51" t="s">
        <v>1332</v>
      </c>
      <c r="F18" s="237" t="s">
        <v>3324</v>
      </c>
      <c r="H18" s="51" t="s">
        <v>3338</v>
      </c>
      <c r="I18" s="51" t="s">
        <v>3339</v>
      </c>
      <c r="J18" s="51" t="str">
        <f t="shared" si="0"/>
        <v>GoldArgor-Heraeus SA</v>
      </c>
    </row>
    <row r="19" spans="1:10" ht="10.5" customHeight="1">
      <c r="A19" s="51" t="s">
        <v>2436</v>
      </c>
      <c r="B19" s="52" t="s">
        <v>1575</v>
      </c>
      <c r="C19" s="52" t="s">
        <v>1575</v>
      </c>
      <c r="D19" s="52" t="s">
        <v>2362</v>
      </c>
      <c r="E19" s="51" t="s">
        <v>1333</v>
      </c>
      <c r="F19" s="237" t="s">
        <v>3324</v>
      </c>
      <c r="H19" s="51" t="s">
        <v>3340</v>
      </c>
      <c r="I19" s="51" t="s">
        <v>3341</v>
      </c>
      <c r="J19" s="51" t="str">
        <f t="shared" si="0"/>
        <v>GoldAsahi Pretec Corporation</v>
      </c>
    </row>
    <row r="20" spans="1:10" ht="10.5" customHeight="1">
      <c r="A20" s="51" t="s">
        <v>2436</v>
      </c>
      <c r="B20" s="51" t="s">
        <v>4518</v>
      </c>
      <c r="C20" s="51" t="s">
        <v>4518</v>
      </c>
      <c r="D20" s="51" t="s">
        <v>2290</v>
      </c>
      <c r="E20" s="51" t="s">
        <v>1370</v>
      </c>
      <c r="F20" s="237" t="s">
        <v>3324</v>
      </c>
      <c r="H20" s="51" t="s">
        <v>3413</v>
      </c>
      <c r="I20" s="51" t="s">
        <v>3414</v>
      </c>
      <c r="J20" s="51" t="str">
        <f t="shared" si="0"/>
        <v>GoldAsahi Refining Canada Limited</v>
      </c>
    </row>
    <row r="21" spans="1:10" ht="10.5" customHeight="1">
      <c r="A21" s="51" t="s">
        <v>2436</v>
      </c>
      <c r="B21" s="51" t="s">
        <v>4519</v>
      </c>
      <c r="C21" s="51" t="s">
        <v>4519</v>
      </c>
      <c r="D21" s="51" t="s">
        <v>1867</v>
      </c>
      <c r="E21" s="51" t="s">
        <v>1369</v>
      </c>
      <c r="F21" s="237" t="s">
        <v>3324</v>
      </c>
      <c r="H21" s="51" t="s">
        <v>3410</v>
      </c>
      <c r="I21" s="51" t="s">
        <v>3411</v>
      </c>
      <c r="J21" s="51" t="str">
        <f t="shared" si="0"/>
        <v>GoldAsahi Refining USA Inc.</v>
      </c>
    </row>
    <row r="22" spans="1:10" ht="10.5" customHeight="1">
      <c r="A22" s="51" t="s">
        <v>2436</v>
      </c>
      <c r="B22" s="52" t="s">
        <v>4395</v>
      </c>
      <c r="C22" s="52" t="s">
        <v>4395</v>
      </c>
      <c r="D22" s="52" t="s">
        <v>2362</v>
      </c>
      <c r="E22" s="51" t="s">
        <v>1334</v>
      </c>
      <c r="F22" s="237" t="s">
        <v>3324</v>
      </c>
      <c r="H22" s="51" t="s">
        <v>3343</v>
      </c>
      <c r="I22" s="51" t="s">
        <v>3344</v>
      </c>
      <c r="J22" s="51" t="str">
        <f t="shared" si="0"/>
        <v>GoldAsaka Riken Co., Ltd.</v>
      </c>
    </row>
    <row r="23" spans="1:10" ht="10.5" customHeight="1">
      <c r="A23" s="51" t="s">
        <v>2436</v>
      </c>
      <c r="B23" s="51" t="s">
        <v>2563</v>
      </c>
      <c r="C23" s="51" t="s">
        <v>1275</v>
      </c>
      <c r="D23" s="52" t="s">
        <v>1859</v>
      </c>
      <c r="E23" s="51" t="s">
        <v>1335</v>
      </c>
      <c r="F23" s="237" t="s">
        <v>3324</v>
      </c>
      <c r="H23" s="51" t="s">
        <v>3345</v>
      </c>
      <c r="I23" s="51" t="s">
        <v>3346</v>
      </c>
      <c r="J23" s="51" t="str">
        <f t="shared" si="0"/>
        <v>GoldATAkulche</v>
      </c>
    </row>
    <row r="24" spans="1:10" ht="10.5" customHeight="1">
      <c r="A24" s="51" t="s">
        <v>2436</v>
      </c>
      <c r="B24" s="52" t="s">
        <v>1275</v>
      </c>
      <c r="C24" s="52" t="s">
        <v>1275</v>
      </c>
      <c r="D24" s="52" t="s">
        <v>1859</v>
      </c>
      <c r="E24" s="51" t="s">
        <v>1335</v>
      </c>
      <c r="F24" s="237" t="s">
        <v>3324</v>
      </c>
      <c r="H24" s="51" t="s">
        <v>3345</v>
      </c>
      <c r="I24" s="51" t="s">
        <v>3346</v>
      </c>
      <c r="J24" s="51" t="str">
        <f t="shared" si="0"/>
        <v>GoldAtasay Kuyumculuk Sanayi Ve Ticaret A.S.</v>
      </c>
    </row>
    <row r="25" spans="1:10" ht="10.5" customHeight="1">
      <c r="A25" s="51" t="s">
        <v>2436</v>
      </c>
      <c r="B25" s="52" t="s">
        <v>2564</v>
      </c>
      <c r="C25" s="52" t="s">
        <v>2564</v>
      </c>
      <c r="D25" s="52" t="s">
        <v>2308</v>
      </c>
      <c r="E25" s="51" t="s">
        <v>1336</v>
      </c>
      <c r="F25" s="237" t="s">
        <v>3324</v>
      </c>
      <c r="H25" s="51" t="s">
        <v>3347</v>
      </c>
      <c r="I25" s="51" t="s">
        <v>3348</v>
      </c>
      <c r="J25" s="51" t="str">
        <f t="shared" si="0"/>
        <v>GoldAurubis AG</v>
      </c>
    </row>
    <row r="26" spans="1:10" ht="10.5" customHeight="1">
      <c r="A26" s="51" t="s">
        <v>2436</v>
      </c>
      <c r="B26" s="52" t="s">
        <v>1895</v>
      </c>
      <c r="C26" s="52" t="s">
        <v>1895</v>
      </c>
      <c r="D26" s="52" t="s">
        <v>1813</v>
      </c>
      <c r="E26" s="51" t="s">
        <v>1337</v>
      </c>
      <c r="F26" s="237" t="s">
        <v>3324</v>
      </c>
      <c r="H26" s="51" t="s">
        <v>4521</v>
      </c>
      <c r="I26" s="51" t="s">
        <v>3351</v>
      </c>
      <c r="J26" s="51" t="str">
        <f t="shared" si="0"/>
        <v>GoldBangko Sentral ng Pilipinas (Central Bank of the Philippines)</v>
      </c>
    </row>
    <row r="27" spans="1:10" ht="10.5" customHeight="1">
      <c r="A27" s="51" t="s">
        <v>2436</v>
      </c>
      <c r="B27" s="52" t="s">
        <v>1338</v>
      </c>
      <c r="C27" s="52" t="s">
        <v>1338</v>
      </c>
      <c r="D27" s="52" t="s">
        <v>2308</v>
      </c>
      <c r="E27" s="51" t="s">
        <v>1339</v>
      </c>
      <c r="F27" s="237" t="s">
        <v>3324</v>
      </c>
      <c r="H27" s="51" t="s">
        <v>3352</v>
      </c>
      <c r="I27" s="51" t="s">
        <v>3332</v>
      </c>
      <c r="J27" s="51" t="str">
        <f t="shared" si="0"/>
        <v>GoldBauer Walser AG</v>
      </c>
    </row>
    <row r="28" spans="1:10" ht="10.5" customHeight="1">
      <c r="A28" s="51" t="s">
        <v>2436</v>
      </c>
      <c r="B28" s="52" t="s">
        <v>2566</v>
      </c>
      <c r="C28" s="52" t="s">
        <v>2566</v>
      </c>
      <c r="D28" s="52" t="s">
        <v>1844</v>
      </c>
      <c r="E28" s="51" t="s">
        <v>1340</v>
      </c>
      <c r="F28" s="237" t="s">
        <v>3324</v>
      </c>
      <c r="H28" s="51" t="s">
        <v>3353</v>
      </c>
      <c r="I28" s="51" t="s">
        <v>3354</v>
      </c>
      <c r="J28" s="51" t="str">
        <f t="shared" si="0"/>
        <v>GoldBoliden AB</v>
      </c>
    </row>
    <row r="29" spans="1:10" ht="10.5" customHeight="1">
      <c r="A29" s="51" t="s">
        <v>2436</v>
      </c>
      <c r="B29" s="52" t="s">
        <v>1341</v>
      </c>
      <c r="C29" s="52" t="s">
        <v>1341</v>
      </c>
      <c r="D29" s="52" t="s">
        <v>2308</v>
      </c>
      <c r="E29" s="51" t="s">
        <v>1342</v>
      </c>
      <c r="F29" s="237" t="s">
        <v>3324</v>
      </c>
      <c r="H29" s="51" t="s">
        <v>3331</v>
      </c>
      <c r="I29" s="51" t="s">
        <v>3332</v>
      </c>
      <c r="J29" s="51" t="str">
        <f t="shared" si="0"/>
        <v>GoldC. Hafner GmbH + Co. KG</v>
      </c>
    </row>
    <row r="30" spans="1:10" ht="10.5" customHeight="1">
      <c r="A30" s="51" t="s">
        <v>2436</v>
      </c>
      <c r="B30" s="52" t="s">
        <v>1896</v>
      </c>
      <c r="C30" s="52" t="s">
        <v>1896</v>
      </c>
      <c r="D30" s="52" t="s">
        <v>2388</v>
      </c>
      <c r="E30" s="51" t="s">
        <v>1343</v>
      </c>
      <c r="F30" s="237" t="s">
        <v>3324</v>
      </c>
      <c r="H30" s="51" t="s">
        <v>3355</v>
      </c>
      <c r="I30" s="51" t="s">
        <v>3356</v>
      </c>
      <c r="J30" s="51" t="str">
        <f t="shared" si="0"/>
        <v>GoldCaridad</v>
      </c>
    </row>
    <row r="31" spans="1:10" ht="10.5" customHeight="1">
      <c r="A31" s="51" t="s">
        <v>2436</v>
      </c>
      <c r="B31" s="51" t="s">
        <v>3359</v>
      </c>
      <c r="C31" s="51" t="s">
        <v>4591</v>
      </c>
      <c r="D31" s="52" t="s">
        <v>2290</v>
      </c>
      <c r="E31" s="51" t="s">
        <v>1344</v>
      </c>
      <c r="F31" s="237" t="s">
        <v>3324</v>
      </c>
      <c r="H31" s="51" t="s">
        <v>3357</v>
      </c>
      <c r="I31" s="51" t="s">
        <v>3358</v>
      </c>
      <c r="J31" s="51" t="str">
        <f t="shared" si="0"/>
        <v>GoldCCR</v>
      </c>
    </row>
    <row r="32" spans="1:10" ht="10.5" customHeight="1">
      <c r="A32" s="51" t="s">
        <v>2436</v>
      </c>
      <c r="B32" s="52" t="s">
        <v>4591</v>
      </c>
      <c r="C32" s="52" t="s">
        <v>4591</v>
      </c>
      <c r="D32" s="52" t="s">
        <v>2290</v>
      </c>
      <c r="E32" s="51" t="s">
        <v>1344</v>
      </c>
      <c r="F32" s="237" t="s">
        <v>3324</v>
      </c>
      <c r="H32" s="51" t="s">
        <v>3357</v>
      </c>
      <c r="I32" s="51" t="s">
        <v>3358</v>
      </c>
      <c r="J32" s="51" t="str">
        <f t="shared" si="0"/>
        <v>GoldCCR Refinery - Glencore Canada Corporation</v>
      </c>
    </row>
    <row r="33" spans="1:10" ht="10.5" customHeight="1">
      <c r="A33" s="51" t="s">
        <v>2436</v>
      </c>
      <c r="B33" s="52" t="s">
        <v>2791</v>
      </c>
      <c r="C33" s="52" t="s">
        <v>2791</v>
      </c>
      <c r="D33" s="52" t="s">
        <v>2292</v>
      </c>
      <c r="E33" s="51" t="s">
        <v>1345</v>
      </c>
      <c r="F33" s="237" t="s">
        <v>3324</v>
      </c>
      <c r="H33" s="51" t="s">
        <v>3361</v>
      </c>
      <c r="I33" s="51" t="s">
        <v>3362</v>
      </c>
      <c r="J33" s="51" t="str">
        <f t="shared" si="0"/>
        <v>GoldCendres + Métaux SA</v>
      </c>
    </row>
    <row r="34" spans="1:10" ht="10.5" customHeight="1">
      <c r="A34" s="51" t="s">
        <v>2436</v>
      </c>
      <c r="B34" s="51" t="s">
        <v>2565</v>
      </c>
      <c r="C34" s="51" t="s">
        <v>1895</v>
      </c>
      <c r="D34" s="52" t="s">
        <v>1813</v>
      </c>
      <c r="E34" s="51" t="s">
        <v>1337</v>
      </c>
      <c r="F34" s="237" t="s">
        <v>3324</v>
      </c>
      <c r="H34" s="51" t="s">
        <v>3350</v>
      </c>
      <c r="I34" s="51" t="s">
        <v>3351</v>
      </c>
      <c r="J34" s="51" t="str">
        <f t="shared" si="0"/>
        <v>GoldCentral Bank of the Philippines Gold Refinery &amp; Mint</v>
      </c>
    </row>
    <row r="35" spans="1:10" ht="10.5" customHeight="1">
      <c r="A35" s="51" t="s">
        <v>2436</v>
      </c>
      <c r="B35" s="51" t="s">
        <v>3365</v>
      </c>
      <c r="C35" s="51" t="s">
        <v>4396</v>
      </c>
      <c r="D35" s="52" t="s">
        <v>2294</v>
      </c>
      <c r="E35" s="51" t="s">
        <v>1432</v>
      </c>
      <c r="F35" s="237" t="s">
        <v>3324</v>
      </c>
      <c r="H35" s="51" t="s">
        <v>3363</v>
      </c>
      <c r="I35" s="51" t="s">
        <v>3364</v>
      </c>
      <c r="J35" s="51" t="str">
        <f t="shared" si="0"/>
        <v>GoldCHALCO Yunnan Copper Co. Ltd.</v>
      </c>
    </row>
    <row r="36" spans="1:10" ht="10.5" customHeight="1">
      <c r="A36" s="51" t="s">
        <v>2436</v>
      </c>
      <c r="B36" s="52" t="s">
        <v>86</v>
      </c>
      <c r="C36" s="52" t="s">
        <v>86</v>
      </c>
      <c r="D36" s="52" t="s">
        <v>2359</v>
      </c>
      <c r="E36" s="51" t="s">
        <v>1346</v>
      </c>
      <c r="F36" s="237" t="s">
        <v>3324</v>
      </c>
      <c r="H36" s="51" t="s">
        <v>3366</v>
      </c>
      <c r="I36" s="51" t="s">
        <v>3367</v>
      </c>
      <c r="J36" s="51" t="str">
        <f t="shared" si="0"/>
        <v>GoldChimet S.p.A.</v>
      </c>
    </row>
    <row r="37" spans="1:10" ht="10.5" customHeight="1">
      <c r="A37" s="51" t="s">
        <v>2436</v>
      </c>
      <c r="B37" s="51" t="s">
        <v>43</v>
      </c>
      <c r="C37" s="51" t="s">
        <v>2696</v>
      </c>
      <c r="D37" s="51" t="s">
        <v>2294</v>
      </c>
      <c r="E37" s="51" t="s">
        <v>1433</v>
      </c>
      <c r="F37" s="237" t="s">
        <v>3324</v>
      </c>
      <c r="H37" s="51" t="s">
        <v>3536</v>
      </c>
      <c r="I37" s="51" t="s">
        <v>3431</v>
      </c>
      <c r="J37" s="51" t="str">
        <f t="shared" si="0"/>
        <v>GoldChina Henan Zhongyuan Gold Smelter</v>
      </c>
    </row>
    <row r="38" spans="1:10" ht="10.5" customHeight="1">
      <c r="A38" s="51" t="s">
        <v>2436</v>
      </c>
      <c r="B38" s="51" t="s">
        <v>44</v>
      </c>
      <c r="C38" s="51" t="s">
        <v>4425</v>
      </c>
      <c r="D38" s="51" t="s">
        <v>2294</v>
      </c>
      <c r="E38" s="51" t="s">
        <v>1421</v>
      </c>
      <c r="F38" s="237" t="s">
        <v>3324</v>
      </c>
      <c r="H38" s="51" t="s">
        <v>3496</v>
      </c>
      <c r="I38" s="51" t="s">
        <v>3473</v>
      </c>
      <c r="J38" s="51" t="str">
        <f t="shared" si="0"/>
        <v>GoldChina's Shandong Gold Mining Co., Ltd</v>
      </c>
    </row>
    <row r="39" spans="1:10" ht="10.5" customHeight="1">
      <c r="A39" s="51" t="s">
        <v>2436</v>
      </c>
      <c r="B39" s="52" t="s">
        <v>1060</v>
      </c>
      <c r="C39" s="52" t="s">
        <v>1060</v>
      </c>
      <c r="D39" s="52" t="s">
        <v>2362</v>
      </c>
      <c r="E39" s="51" t="s">
        <v>1347</v>
      </c>
      <c r="F39" s="237" t="s">
        <v>3324</v>
      </c>
      <c r="H39" s="51" t="s">
        <v>3368</v>
      </c>
      <c r="I39" s="51" t="s">
        <v>3328</v>
      </c>
      <c r="J39" s="51" t="str">
        <f t="shared" si="0"/>
        <v>GoldChugai Mining</v>
      </c>
    </row>
    <row r="40" spans="1:10" ht="10.5" customHeight="1">
      <c r="A40" s="51" t="s">
        <v>2436</v>
      </c>
      <c r="B40" s="51" t="s">
        <v>4398</v>
      </c>
      <c r="C40" s="51" t="s">
        <v>4398</v>
      </c>
      <c r="D40" s="51" t="s">
        <v>2369</v>
      </c>
      <c r="E40" s="51" t="s">
        <v>1348</v>
      </c>
      <c r="F40" s="237" t="s">
        <v>3324</v>
      </c>
      <c r="H40" s="51" t="s">
        <v>3369</v>
      </c>
      <c r="I40" s="51" t="s">
        <v>3370</v>
      </c>
      <c r="J40" s="51" t="str">
        <f t="shared" si="0"/>
        <v>GoldDaejin Indus Co., Ltd.</v>
      </c>
    </row>
    <row r="41" spans="1:10" ht="10.5" customHeight="1">
      <c r="A41" s="51" t="s">
        <v>2436</v>
      </c>
      <c r="B41" s="51" t="s">
        <v>3371</v>
      </c>
      <c r="C41" s="51" t="s">
        <v>4398</v>
      </c>
      <c r="D41" s="51" t="s">
        <v>2369</v>
      </c>
      <c r="E41" s="51" t="s">
        <v>1348</v>
      </c>
      <c r="F41" s="237" t="s">
        <v>3324</v>
      </c>
      <c r="H41" s="51" t="s">
        <v>3369</v>
      </c>
      <c r="I41" s="51" t="s">
        <v>3370</v>
      </c>
      <c r="J41" s="51" t="str">
        <f t="shared" si="0"/>
        <v>GoldDaejin Industry</v>
      </c>
    </row>
    <row r="42" spans="1:10" ht="10.5" customHeight="1">
      <c r="A42" s="51" t="s">
        <v>2436</v>
      </c>
      <c r="B42" s="51" t="s">
        <v>1349</v>
      </c>
      <c r="C42" s="51" t="s">
        <v>1349</v>
      </c>
      <c r="D42" s="51" t="s">
        <v>2294</v>
      </c>
      <c r="E42" s="51" t="s">
        <v>1350</v>
      </c>
      <c r="F42" s="237" t="s">
        <v>3324</v>
      </c>
      <c r="H42" s="51" t="s">
        <v>3372</v>
      </c>
      <c r="I42" s="51" t="s">
        <v>3373</v>
      </c>
      <c r="J42" s="51" t="str">
        <f t="shared" si="0"/>
        <v>GoldDaye Non-Ferrous Metals Mining Ltd.</v>
      </c>
    </row>
    <row r="43" spans="1:10" ht="10.5" customHeight="1">
      <c r="A43" s="51" t="s">
        <v>2436</v>
      </c>
      <c r="B43" s="51" t="s">
        <v>1260</v>
      </c>
      <c r="C43" s="51" t="s">
        <v>1260</v>
      </c>
      <c r="D43" s="51" t="s">
        <v>2369</v>
      </c>
      <c r="E43" s="51" t="s">
        <v>1351</v>
      </c>
      <c r="F43" s="237" t="s">
        <v>3324</v>
      </c>
      <c r="H43" s="51" t="s">
        <v>3374</v>
      </c>
      <c r="I43" s="51" t="s">
        <v>3375</v>
      </c>
      <c r="J43" s="51" t="str">
        <f t="shared" si="0"/>
        <v>GoldDo Sung Corporation</v>
      </c>
    </row>
    <row r="44" spans="1:10" ht="10.5" customHeight="1">
      <c r="A44" s="51" t="s">
        <v>2436</v>
      </c>
      <c r="B44" s="51" t="s">
        <v>1352</v>
      </c>
      <c r="C44" s="51" t="s">
        <v>4547</v>
      </c>
      <c r="D44" s="51" t="s">
        <v>2308</v>
      </c>
      <c r="E44" s="51" t="s">
        <v>1353</v>
      </c>
      <c r="F44" s="237" t="s">
        <v>3324</v>
      </c>
      <c r="H44" s="51" t="s">
        <v>3331</v>
      </c>
      <c r="I44" s="51" t="s">
        <v>3332</v>
      </c>
      <c r="J44" s="51" t="str">
        <f t="shared" si="0"/>
        <v>GoldDoduco</v>
      </c>
    </row>
    <row r="45" spans="1:10" ht="10.5" customHeight="1">
      <c r="A45" s="51" t="s">
        <v>2436</v>
      </c>
      <c r="B45" s="51" t="s">
        <v>4547</v>
      </c>
      <c r="C45" s="51" t="s">
        <v>4547</v>
      </c>
      <c r="D45" s="51" t="s">
        <v>2308</v>
      </c>
      <c r="E45" s="51" t="s">
        <v>1353</v>
      </c>
      <c r="F45" s="237" t="s">
        <v>3324</v>
      </c>
      <c r="H45" s="51" t="s">
        <v>3331</v>
      </c>
      <c r="I45" s="51" t="s">
        <v>3332</v>
      </c>
      <c r="J45" s="51" t="str">
        <f t="shared" si="0"/>
        <v>GoldDODUCO GmbH</v>
      </c>
    </row>
    <row r="46" spans="1:10" ht="10.5" customHeight="1">
      <c r="A46" s="51" t="s">
        <v>2436</v>
      </c>
      <c r="B46" s="51" t="s">
        <v>64</v>
      </c>
      <c r="C46" s="51" t="s">
        <v>1260</v>
      </c>
      <c r="D46" s="51" t="s">
        <v>2369</v>
      </c>
      <c r="E46" s="51" t="s">
        <v>1351</v>
      </c>
      <c r="F46" s="237" t="s">
        <v>3324</v>
      </c>
      <c r="H46" s="51" t="s">
        <v>3374</v>
      </c>
      <c r="I46" s="51" t="s">
        <v>3375</v>
      </c>
      <c r="J46" s="51" t="str">
        <f t="shared" si="0"/>
        <v>GoldDosung metal</v>
      </c>
    </row>
    <row r="47" spans="1:10" ht="10.5" customHeight="1">
      <c r="A47" s="51" t="s">
        <v>2436</v>
      </c>
      <c r="B47" s="51" t="s">
        <v>1897</v>
      </c>
      <c r="C47" s="51" t="s">
        <v>1897</v>
      </c>
      <c r="D47" s="51" t="s">
        <v>2362</v>
      </c>
      <c r="E47" s="51" t="s">
        <v>1354</v>
      </c>
      <c r="F47" s="237" t="s">
        <v>3324</v>
      </c>
      <c r="H47" s="51" t="s">
        <v>3376</v>
      </c>
      <c r="I47" s="51" t="s">
        <v>3377</v>
      </c>
      <c r="J47" s="51" t="str">
        <f t="shared" si="0"/>
        <v>GoldDowa</v>
      </c>
    </row>
    <row r="48" spans="1:10" ht="10.5" customHeight="1">
      <c r="A48" s="51" t="s">
        <v>2436</v>
      </c>
      <c r="B48" s="51" t="s">
        <v>3378</v>
      </c>
      <c r="C48" s="51" t="s">
        <v>1897</v>
      </c>
      <c r="D48" s="51" t="s">
        <v>2362</v>
      </c>
      <c r="E48" s="51" t="s">
        <v>1354</v>
      </c>
      <c r="F48" s="237" t="s">
        <v>3324</v>
      </c>
      <c r="H48" s="51" t="s">
        <v>3376</v>
      </c>
      <c r="I48" s="51" t="s">
        <v>3377</v>
      </c>
      <c r="J48" s="51" t="str">
        <f t="shared" si="0"/>
        <v>GoldDowa Kogyo k.k.</v>
      </c>
    </row>
    <row r="49" spans="1:10" ht="10.5" customHeight="1">
      <c r="A49" s="51" t="s">
        <v>2436</v>
      </c>
      <c r="B49" s="51" t="s">
        <v>3379</v>
      </c>
      <c r="C49" s="51" t="s">
        <v>1897</v>
      </c>
      <c r="D49" s="51" t="s">
        <v>2362</v>
      </c>
      <c r="E49" s="51" t="s">
        <v>1354</v>
      </c>
      <c r="F49" s="237" t="s">
        <v>3324</v>
      </c>
      <c r="H49" s="51" t="s">
        <v>3376</v>
      </c>
      <c r="I49" s="51" t="s">
        <v>3377</v>
      </c>
      <c r="J49" s="51" t="str">
        <f t="shared" si="0"/>
        <v>GoldDowa Metalmine Co. Ltd</v>
      </c>
    </row>
    <row r="50" spans="1:10" ht="10.5" customHeight="1">
      <c r="A50" s="51" t="s">
        <v>2436</v>
      </c>
      <c r="B50" s="51" t="s">
        <v>3380</v>
      </c>
      <c r="C50" s="51" t="s">
        <v>1897</v>
      </c>
      <c r="D50" s="51" t="s">
        <v>2362</v>
      </c>
      <c r="E50" s="51" t="s">
        <v>1354</v>
      </c>
      <c r="F50" s="237" t="s">
        <v>3324</v>
      </c>
      <c r="H50" s="51" t="s">
        <v>3376</v>
      </c>
      <c r="I50" s="51" t="s">
        <v>3377</v>
      </c>
      <c r="J50" s="51" t="str">
        <f t="shared" si="0"/>
        <v>GoldDowa Metals &amp; Mining Co. Ltd</v>
      </c>
    </row>
    <row r="51" spans="1:10" ht="10.5" customHeight="1">
      <c r="A51" s="51" t="s">
        <v>2436</v>
      </c>
      <c r="B51" s="51" t="s">
        <v>777</v>
      </c>
      <c r="C51" s="51" t="s">
        <v>777</v>
      </c>
      <c r="D51" s="51" t="s">
        <v>2362</v>
      </c>
      <c r="E51" s="51" t="s">
        <v>778</v>
      </c>
      <c r="F51" s="237" t="s">
        <v>3324</v>
      </c>
      <c r="H51" s="51" t="s">
        <v>3381</v>
      </c>
      <c r="I51" s="51" t="s">
        <v>3382</v>
      </c>
      <c r="J51" s="51" t="str">
        <f t="shared" si="0"/>
        <v>GoldEco-System Recycling Co., Ltd.</v>
      </c>
    </row>
    <row r="52" spans="1:10" ht="10.5" customHeight="1">
      <c r="A52" s="51" t="s">
        <v>2436</v>
      </c>
      <c r="B52" s="51" t="s">
        <v>4520</v>
      </c>
      <c r="C52" s="51" t="s">
        <v>4520</v>
      </c>
      <c r="D52" s="51" t="s">
        <v>1867</v>
      </c>
      <c r="E52" s="51" t="s">
        <v>1398</v>
      </c>
      <c r="F52" s="237" t="s">
        <v>3324</v>
      </c>
      <c r="H52" s="51" t="s">
        <v>3463</v>
      </c>
      <c r="I52" s="51" t="s">
        <v>3464</v>
      </c>
      <c r="J52" s="51" t="str">
        <f t="shared" si="0"/>
        <v>GoldElemetal Refining, LLC</v>
      </c>
    </row>
    <row r="53" spans="1:10" ht="10.5" customHeight="1">
      <c r="A53" s="51" t="s">
        <v>2436</v>
      </c>
      <c r="B53" s="51" t="s">
        <v>3569</v>
      </c>
      <c r="C53" s="51" t="s">
        <v>3569</v>
      </c>
      <c r="D53" s="51" t="s">
        <v>2260</v>
      </c>
      <c r="E53" s="51" t="s">
        <v>3570</v>
      </c>
      <c r="F53" s="237" t="s">
        <v>3324</v>
      </c>
      <c r="H53" s="51" t="s">
        <v>3568</v>
      </c>
      <c r="I53" s="51" t="s">
        <v>3568</v>
      </c>
      <c r="J53" s="51" t="str">
        <f t="shared" si="0"/>
        <v>GoldEmirates Gold DMCC</v>
      </c>
    </row>
    <row r="54" spans="1:10" ht="10.5" customHeight="1">
      <c r="A54" s="51" t="s">
        <v>2436</v>
      </c>
      <c r="B54" s="51" t="s">
        <v>3549</v>
      </c>
      <c r="C54" s="51" t="s">
        <v>3549</v>
      </c>
      <c r="D54" s="51" t="s">
        <v>2359</v>
      </c>
      <c r="E54" s="51" t="s">
        <v>3550</v>
      </c>
      <c r="F54" s="237" t="s">
        <v>3324</v>
      </c>
      <c r="H54" s="51" t="s">
        <v>3551</v>
      </c>
      <c r="I54" s="51" t="s">
        <v>3552</v>
      </c>
      <c r="J54" s="51" t="str">
        <f t="shared" si="0"/>
        <v>GoldFaggi Enrico S.p.A.</v>
      </c>
    </row>
    <row r="55" spans="1:10" ht="10.5" customHeight="1">
      <c r="A55" s="51" t="s">
        <v>2436</v>
      </c>
      <c r="B55" s="51" t="s">
        <v>2823</v>
      </c>
      <c r="C55" s="51" t="s">
        <v>2823</v>
      </c>
      <c r="D55" s="51" t="s">
        <v>1883</v>
      </c>
      <c r="E55" s="51" t="s">
        <v>2824</v>
      </c>
      <c r="F55" s="237" t="s">
        <v>3324</v>
      </c>
      <c r="H55" s="51" t="s">
        <v>3562</v>
      </c>
      <c r="I55" s="51" t="s">
        <v>3563</v>
      </c>
      <c r="J55" s="51" t="str">
        <f t="shared" si="0"/>
        <v>GoldFidelity Printers and Refiners Ltd.</v>
      </c>
    </row>
    <row r="56" spans="1:10" ht="10.5" customHeight="1">
      <c r="A56" s="51" t="s">
        <v>2436</v>
      </c>
      <c r="B56" s="51" t="s">
        <v>1898</v>
      </c>
      <c r="C56" s="297" t="s">
        <v>4516</v>
      </c>
      <c r="D56" s="51" t="s">
        <v>1825</v>
      </c>
      <c r="E56" s="51" t="s">
        <v>1355</v>
      </c>
      <c r="F56" s="237" t="s">
        <v>3324</v>
      </c>
      <c r="H56" s="51" t="s">
        <v>3383</v>
      </c>
      <c r="I56" s="51" t="s">
        <v>3384</v>
      </c>
      <c r="J56" s="51" t="str">
        <f t="shared" si="0"/>
        <v>GoldFSE Novosibirsk Refinery</v>
      </c>
    </row>
    <row r="57" spans="1:10" ht="10.5" customHeight="1">
      <c r="A57" s="51" t="s">
        <v>2436</v>
      </c>
      <c r="B57" s="51" t="s">
        <v>45</v>
      </c>
      <c r="C57" s="51" t="s">
        <v>4544</v>
      </c>
      <c r="D57" s="51" t="s">
        <v>2294</v>
      </c>
      <c r="E57" s="51" t="s">
        <v>1434</v>
      </c>
      <c r="F57" s="237" t="s">
        <v>3324</v>
      </c>
      <c r="H57" s="51" t="s">
        <v>3541</v>
      </c>
      <c r="I57" s="51" t="s">
        <v>3542</v>
      </c>
      <c r="J57" s="51" t="str">
        <f t="shared" si="0"/>
        <v>GoldFujian Zijin mining stock company gold smelter</v>
      </c>
    </row>
    <row r="58" spans="1:10" ht="10.5" customHeight="1">
      <c r="A58" s="51" t="s">
        <v>2436</v>
      </c>
      <c r="B58" s="51" t="s">
        <v>4399</v>
      </c>
      <c r="C58" s="51" t="s">
        <v>4399</v>
      </c>
      <c r="D58" s="51" t="s">
        <v>2294</v>
      </c>
      <c r="E58" s="51" t="s">
        <v>1356</v>
      </c>
      <c r="F58" s="237" t="s">
        <v>3324</v>
      </c>
      <c r="H58" s="51" t="s">
        <v>3385</v>
      </c>
      <c r="I58" s="51" t="s">
        <v>3386</v>
      </c>
      <c r="J58" s="51" t="str">
        <f t="shared" si="0"/>
        <v>GoldGansu Seemine Material Hi-Tech Co., Ltd.</v>
      </c>
    </row>
    <row r="59" spans="1:10" ht="10.5" customHeight="1">
      <c r="A59" s="51" t="s">
        <v>2436</v>
      </c>
      <c r="B59" s="51" t="s">
        <v>3553</v>
      </c>
      <c r="C59" s="51" t="s">
        <v>3553</v>
      </c>
      <c r="D59" s="51" t="s">
        <v>1867</v>
      </c>
      <c r="E59" s="51" t="s">
        <v>3554</v>
      </c>
      <c r="F59" s="237" t="s">
        <v>3324</v>
      </c>
      <c r="H59" s="51" t="s">
        <v>3325</v>
      </c>
      <c r="I59" s="51" t="s">
        <v>3555</v>
      </c>
      <c r="J59" s="51" t="str">
        <f t="shared" si="0"/>
        <v>GoldGeib Refining Corporation</v>
      </c>
    </row>
    <row r="60" spans="1:10" ht="10.5" customHeight="1">
      <c r="A60" s="51" t="s">
        <v>2436</v>
      </c>
      <c r="B60" s="51" t="s">
        <v>46</v>
      </c>
      <c r="C60" s="51" t="s">
        <v>4425</v>
      </c>
      <c r="D60" s="51" t="s">
        <v>2294</v>
      </c>
      <c r="E60" s="51" t="s">
        <v>1421</v>
      </c>
      <c r="F60" s="237" t="s">
        <v>3324</v>
      </c>
      <c r="H60" s="51" t="s">
        <v>3496</v>
      </c>
      <c r="I60" s="51" t="s">
        <v>3473</v>
      </c>
      <c r="J60" s="51" t="str">
        <f t="shared" si="0"/>
        <v>GoldGold Mining in Shandong (Laizhou) Limited Company</v>
      </c>
    </row>
    <row r="61" spans="1:10" ht="10.5" customHeight="1">
      <c r="A61" s="51" t="s">
        <v>2436</v>
      </c>
      <c r="B61" s="51" t="s">
        <v>3513</v>
      </c>
      <c r="C61" s="51" t="s">
        <v>4548</v>
      </c>
      <c r="D61" s="51" t="s">
        <v>2294</v>
      </c>
      <c r="E61" s="51" t="s">
        <v>1420</v>
      </c>
      <c r="F61" s="237" t="s">
        <v>3324</v>
      </c>
      <c r="H61" s="51" t="s">
        <v>3500</v>
      </c>
      <c r="I61" s="51" t="s">
        <v>3501</v>
      </c>
      <c r="J61" s="51" t="str">
        <f t="shared" si="0"/>
        <v>GoldGreat Wall Precious Metals Co,. LTD.</v>
      </c>
    </row>
    <row r="62" spans="1:10" ht="10.5" customHeight="1">
      <c r="A62" s="51" t="s">
        <v>2436</v>
      </c>
      <c r="B62" s="51" t="s">
        <v>4548</v>
      </c>
      <c r="C62" s="51" t="s">
        <v>4548</v>
      </c>
      <c r="D62" s="51" t="s">
        <v>2294</v>
      </c>
      <c r="E62" s="51" t="s">
        <v>1420</v>
      </c>
      <c r="F62" s="237" t="s">
        <v>3324</v>
      </c>
      <c r="H62" s="51" t="s">
        <v>3500</v>
      </c>
      <c r="I62" s="51" t="s">
        <v>3501</v>
      </c>
      <c r="J62" s="51" t="str">
        <f t="shared" si="0"/>
        <v>GoldGreat Wall Precious Metals Co., Ltd. of CBPM</v>
      </c>
    </row>
    <row r="63" spans="1:10" ht="10.5" customHeight="1">
      <c r="A63" s="51" t="s">
        <v>2436</v>
      </c>
      <c r="B63" s="51" t="s">
        <v>3546</v>
      </c>
      <c r="C63" s="51" t="s">
        <v>1357</v>
      </c>
      <c r="D63" s="51" t="s">
        <v>2294</v>
      </c>
      <c r="E63" s="51" t="s">
        <v>1358</v>
      </c>
      <c r="F63" s="237" t="s">
        <v>3324</v>
      </c>
      <c r="H63" s="51" t="s">
        <v>3544</v>
      </c>
      <c r="I63" s="51" t="s">
        <v>3545</v>
      </c>
      <c r="J63" s="51" t="str">
        <f t="shared" si="0"/>
        <v>GoldGuangdong Gaoyao Co</v>
      </c>
    </row>
    <row r="64" spans="1:10" ht="10.5" customHeight="1">
      <c r="A64" s="51" t="s">
        <v>2436</v>
      </c>
      <c r="B64" s="51" t="s">
        <v>1357</v>
      </c>
      <c r="C64" s="51" t="s">
        <v>1357</v>
      </c>
      <c r="D64" s="51" t="s">
        <v>2294</v>
      </c>
      <c r="E64" s="51" t="s">
        <v>1358</v>
      </c>
      <c r="F64" s="237" t="s">
        <v>3324</v>
      </c>
      <c r="H64" s="51" t="s">
        <v>3544</v>
      </c>
      <c r="I64" s="51" t="s">
        <v>3545</v>
      </c>
      <c r="J64" s="51" t="str">
        <f t="shared" si="0"/>
        <v>GoldGuangdong Jinding Gold Limited</v>
      </c>
    </row>
    <row r="65" spans="1:10" ht="10.5" customHeight="1">
      <c r="A65" s="51" t="s">
        <v>2436</v>
      </c>
      <c r="B65" s="51" t="s">
        <v>3387</v>
      </c>
      <c r="C65" s="51" t="s">
        <v>3387</v>
      </c>
      <c r="D65" s="51" t="s">
        <v>2294</v>
      </c>
      <c r="E65" s="51" t="s">
        <v>3388</v>
      </c>
      <c r="F65" s="237" t="s">
        <v>3324</v>
      </c>
      <c r="H65" s="51" t="s">
        <v>3389</v>
      </c>
      <c r="I65" s="51" t="s">
        <v>4382</v>
      </c>
      <c r="J65" s="51" t="str">
        <f t="shared" si="0"/>
        <v>GoldGuoda Safina High-Tech Environmental Refinery Co., Ltd.</v>
      </c>
    </row>
    <row r="66" spans="1:10" ht="10.5" customHeight="1">
      <c r="A66" s="51" t="s">
        <v>2436</v>
      </c>
      <c r="B66" s="51" t="s">
        <v>774</v>
      </c>
      <c r="C66" s="51" t="s">
        <v>774</v>
      </c>
      <c r="D66" s="51" t="s">
        <v>2294</v>
      </c>
      <c r="E66" s="51" t="s">
        <v>775</v>
      </c>
      <c r="F66" s="237" t="s">
        <v>3324</v>
      </c>
      <c r="H66" s="51" t="s">
        <v>3392</v>
      </c>
      <c r="I66" s="51" t="s">
        <v>3393</v>
      </c>
      <c r="J66" s="51" t="str">
        <f t="shared" si="0"/>
        <v>GoldHangzhou Fuchunjiang Smelting Co., Ltd.</v>
      </c>
    </row>
    <row r="67" spans="1:10" ht="10.5" customHeight="1">
      <c r="A67" s="51" t="s">
        <v>2436</v>
      </c>
      <c r="B67" s="51" t="s">
        <v>2070</v>
      </c>
      <c r="C67" s="51" t="s">
        <v>2070</v>
      </c>
      <c r="D67" s="51" t="s">
        <v>2308</v>
      </c>
      <c r="E67" s="51" t="s">
        <v>1359</v>
      </c>
      <c r="F67" s="237" t="s">
        <v>3324</v>
      </c>
      <c r="H67" s="51" t="s">
        <v>3331</v>
      </c>
      <c r="I67" s="51" t="s">
        <v>3332</v>
      </c>
      <c r="J67" s="51" t="str">
        <f t="shared" si="0"/>
        <v>GoldHeimerle + Meule GmbH</v>
      </c>
    </row>
    <row r="68" spans="1:10" ht="10.5" customHeight="1">
      <c r="A68" s="51" t="s">
        <v>2436</v>
      </c>
      <c r="B68" s="51" t="s">
        <v>3537</v>
      </c>
      <c r="C68" s="51" t="s">
        <v>2696</v>
      </c>
      <c r="D68" s="51" t="s">
        <v>2294</v>
      </c>
      <c r="E68" s="51" t="s">
        <v>1433</v>
      </c>
      <c r="F68" s="237" t="s">
        <v>3324</v>
      </c>
      <c r="H68" s="51" t="s">
        <v>3536</v>
      </c>
      <c r="I68" s="51" t="s">
        <v>3431</v>
      </c>
      <c r="J68" s="51" t="str">
        <f t="shared" si="0"/>
        <v>GoldHenan Zhongyuan Gold Refinery Co., Ltd.</v>
      </c>
    </row>
    <row r="69" spans="1:10" ht="10.5" customHeight="1">
      <c r="A69" s="51" t="s">
        <v>2436</v>
      </c>
      <c r="B69" s="51" t="s">
        <v>3540</v>
      </c>
      <c r="C69" s="51" t="s">
        <v>2696</v>
      </c>
      <c r="D69" s="51" t="s">
        <v>2294</v>
      </c>
      <c r="E69" s="51" t="s">
        <v>1433</v>
      </c>
      <c r="F69" s="237" t="s">
        <v>3324</v>
      </c>
      <c r="H69" s="51" t="s">
        <v>3536</v>
      </c>
      <c r="I69" s="51" t="s">
        <v>3431</v>
      </c>
      <c r="J69" s="51" t="str">
        <f t="shared" si="0"/>
        <v>GoldHenan Zhongyuan Gold Smelter of Zhongjin Gold Co. Ltd.</v>
      </c>
    </row>
    <row r="70" spans="1:10" ht="10.5" customHeight="1">
      <c r="A70" s="51" t="s">
        <v>2436</v>
      </c>
      <c r="B70" s="51" t="s">
        <v>47</v>
      </c>
      <c r="C70" s="51" t="s">
        <v>2696</v>
      </c>
      <c r="D70" s="51" t="s">
        <v>2294</v>
      </c>
      <c r="E70" s="51" t="s">
        <v>1433</v>
      </c>
      <c r="F70" s="237" t="s">
        <v>3324</v>
      </c>
      <c r="H70" s="51" t="s">
        <v>3536</v>
      </c>
      <c r="I70" s="51" t="s">
        <v>3431</v>
      </c>
      <c r="J70" s="51" t="str">
        <f t="shared" si="0"/>
        <v>GoldHenan Zhongyuan Gold Smelter of Zhongjin Gold Corporation Limited</v>
      </c>
    </row>
    <row r="71" spans="1:10" ht="10.5" customHeight="1">
      <c r="A71" s="51" t="s">
        <v>2436</v>
      </c>
      <c r="B71" s="51" t="s">
        <v>87</v>
      </c>
      <c r="C71" s="51" t="s">
        <v>87</v>
      </c>
      <c r="D71" s="51" t="s">
        <v>2294</v>
      </c>
      <c r="E71" s="51" t="s">
        <v>1360</v>
      </c>
      <c r="F71" s="237" t="s">
        <v>3324</v>
      </c>
      <c r="H71" s="51" t="s">
        <v>3394</v>
      </c>
      <c r="I71" s="51" t="s">
        <v>3395</v>
      </c>
      <c r="J71" s="51" t="str">
        <f t="shared" ref="J71:J136" si="1">A71&amp;B71</f>
        <v>GoldHeraeus Ltd. Hong Kong</v>
      </c>
    </row>
    <row r="72" spans="1:10" ht="10.5" customHeight="1">
      <c r="A72" s="51" t="s">
        <v>2436</v>
      </c>
      <c r="B72" s="51" t="s">
        <v>2567</v>
      </c>
      <c r="C72" s="51" t="s">
        <v>2567</v>
      </c>
      <c r="D72" s="51" t="s">
        <v>2308</v>
      </c>
      <c r="E72" s="51" t="s">
        <v>1361</v>
      </c>
      <c r="F72" s="237" t="s">
        <v>3324</v>
      </c>
      <c r="H72" s="51" t="s">
        <v>3396</v>
      </c>
      <c r="I72" s="51" t="s">
        <v>3397</v>
      </c>
      <c r="J72" s="51" t="str">
        <f t="shared" si="1"/>
        <v>GoldHeraeus Precious Metals GmbH &amp; Co. KG</v>
      </c>
    </row>
    <row r="73" spans="1:10" ht="10.5" customHeight="1">
      <c r="A73" s="51" t="s">
        <v>2436</v>
      </c>
      <c r="B73" s="51" t="s">
        <v>2792</v>
      </c>
      <c r="C73" s="51" t="s">
        <v>4540</v>
      </c>
      <c r="D73" s="51" t="s">
        <v>2294</v>
      </c>
      <c r="E73" s="51" t="s">
        <v>1362</v>
      </c>
      <c r="F73" s="237" t="s">
        <v>3324</v>
      </c>
      <c r="H73" s="51" t="s">
        <v>4385</v>
      </c>
      <c r="I73" s="51" t="s">
        <v>3390</v>
      </c>
      <c r="J73" s="51" t="str">
        <f t="shared" si="1"/>
        <v>GoldHunan Chenzhou Mining Group Co., Ltd.</v>
      </c>
    </row>
    <row r="74" spans="1:10" ht="10.5" customHeight="1">
      <c r="A74" s="51" t="s">
        <v>2436</v>
      </c>
      <c r="B74" s="51" t="s">
        <v>3399</v>
      </c>
      <c r="C74" s="51" t="s">
        <v>4540</v>
      </c>
      <c r="D74" s="51" t="s">
        <v>2294</v>
      </c>
      <c r="E74" s="51" t="s">
        <v>1362</v>
      </c>
      <c r="F74" s="237" t="s">
        <v>3324</v>
      </c>
      <c r="H74" s="51" t="s">
        <v>4385</v>
      </c>
      <c r="I74" s="51" t="s">
        <v>3390</v>
      </c>
      <c r="J74" s="51" t="str">
        <f t="shared" si="1"/>
        <v>GoldHunan Chenzhou Mining Industry Co. Ltd.</v>
      </c>
    </row>
    <row r="75" spans="1:10" ht="10.5" customHeight="1">
      <c r="A75" s="51" t="s">
        <v>2436</v>
      </c>
      <c r="B75" s="51" t="s">
        <v>4540</v>
      </c>
      <c r="C75" s="51" t="s">
        <v>4540</v>
      </c>
      <c r="D75" s="51" t="s">
        <v>2294</v>
      </c>
      <c r="E75" s="51" t="s">
        <v>1362</v>
      </c>
      <c r="F75" s="237" t="s">
        <v>3324</v>
      </c>
      <c r="H75" s="51" t="s">
        <v>4385</v>
      </c>
      <c r="I75" s="51" t="s">
        <v>3390</v>
      </c>
      <c r="J75" s="51" t="str">
        <f t="shared" si="1"/>
        <v>GoldHunan Chenzhou Mining Co., Ltd.</v>
      </c>
    </row>
    <row r="76" spans="1:10" ht="10.5" customHeight="1">
      <c r="A76" s="51" t="s">
        <v>2436</v>
      </c>
      <c r="B76" s="51" t="s">
        <v>4402</v>
      </c>
      <c r="C76" s="51" t="s">
        <v>4402</v>
      </c>
      <c r="D76" s="51" t="s">
        <v>2369</v>
      </c>
      <c r="E76" s="51" t="s">
        <v>1363</v>
      </c>
      <c r="F76" s="237" t="s">
        <v>3324</v>
      </c>
      <c r="H76" s="51" t="s">
        <v>3400</v>
      </c>
      <c r="I76" s="51" t="s">
        <v>3375</v>
      </c>
      <c r="J76" s="51" t="str">
        <f t="shared" si="1"/>
        <v>GoldHwasung CJ Co., Ltd.</v>
      </c>
    </row>
    <row r="77" spans="1:10" ht="10.5" customHeight="1">
      <c r="A77" s="51" t="s">
        <v>2436</v>
      </c>
      <c r="B77" s="51" t="s">
        <v>1276</v>
      </c>
      <c r="C77" s="51" t="s">
        <v>1276</v>
      </c>
      <c r="D77" s="51" t="s">
        <v>2294</v>
      </c>
      <c r="E77" s="51" t="s">
        <v>1364</v>
      </c>
      <c r="F77" s="237" t="s">
        <v>3324</v>
      </c>
      <c r="H77" s="51" t="s">
        <v>3401</v>
      </c>
      <c r="I77" s="51" t="s">
        <v>3402</v>
      </c>
      <c r="J77" s="51" t="str">
        <f t="shared" si="1"/>
        <v>GoldInner Mongolia Qiankun Gold and Silver Refinery Share Company Limited</v>
      </c>
    </row>
    <row r="78" spans="1:10" ht="10.5" customHeight="1">
      <c r="A78" s="51" t="s">
        <v>2436</v>
      </c>
      <c r="B78" s="51" t="s">
        <v>2568</v>
      </c>
      <c r="C78" s="51" t="s">
        <v>2568</v>
      </c>
      <c r="D78" s="51" t="s">
        <v>2362</v>
      </c>
      <c r="E78" s="51" t="s">
        <v>1365</v>
      </c>
      <c r="F78" s="237" t="s">
        <v>3324</v>
      </c>
      <c r="H78" s="51" t="s">
        <v>3403</v>
      </c>
      <c r="I78" s="51" t="s">
        <v>3382</v>
      </c>
      <c r="J78" s="51" t="str">
        <f t="shared" si="1"/>
        <v>GoldIshifuku Metal Industry Co., Ltd.</v>
      </c>
    </row>
    <row r="79" spans="1:10" ht="10.5" customHeight="1">
      <c r="A79" s="51" t="s">
        <v>2436</v>
      </c>
      <c r="B79" s="51" t="s">
        <v>2580</v>
      </c>
      <c r="C79" s="51" t="s">
        <v>2580</v>
      </c>
      <c r="D79" s="51" t="s">
        <v>1859</v>
      </c>
      <c r="E79" s="51" t="s">
        <v>1366</v>
      </c>
      <c r="F79" s="237" t="s">
        <v>3324</v>
      </c>
      <c r="H79" s="51" t="s">
        <v>3404</v>
      </c>
      <c r="I79" s="51" t="s">
        <v>3345</v>
      </c>
      <c r="J79" s="51" t="str">
        <f t="shared" si="1"/>
        <v>GoldIstanbul Gold Refinery</v>
      </c>
    </row>
    <row r="80" spans="1:10" ht="10.5" customHeight="1">
      <c r="A80" s="51" t="s">
        <v>2436</v>
      </c>
      <c r="B80" s="51" t="s">
        <v>1899</v>
      </c>
      <c r="C80" s="51" t="s">
        <v>1899</v>
      </c>
      <c r="D80" s="51" t="s">
        <v>2362</v>
      </c>
      <c r="E80" s="51" t="s">
        <v>1367</v>
      </c>
      <c r="F80" s="237" t="s">
        <v>3324</v>
      </c>
      <c r="H80" s="51" t="s">
        <v>3405</v>
      </c>
      <c r="I80" s="51" t="s">
        <v>3406</v>
      </c>
      <c r="J80" s="51" t="str">
        <f t="shared" si="1"/>
        <v>GoldJapan Mint</v>
      </c>
    </row>
    <row r="81" spans="1:10" ht="10.5" customHeight="1">
      <c r="A81" s="51" t="s">
        <v>2436</v>
      </c>
      <c r="B81" s="51" t="s">
        <v>3409</v>
      </c>
      <c r="C81" s="51" t="s">
        <v>1277</v>
      </c>
      <c r="D81" s="51" t="s">
        <v>2294</v>
      </c>
      <c r="E81" s="51" t="s">
        <v>1368</v>
      </c>
      <c r="F81" s="237" t="s">
        <v>3324</v>
      </c>
      <c r="H81" s="51" t="s">
        <v>3407</v>
      </c>
      <c r="I81" s="51" t="s">
        <v>3408</v>
      </c>
      <c r="J81" s="51" t="str">
        <f t="shared" si="1"/>
        <v>GoldJCC</v>
      </c>
    </row>
    <row r="82" spans="1:10" ht="10.5" customHeight="1">
      <c r="A82" s="51" t="s">
        <v>2436</v>
      </c>
      <c r="B82" s="51" t="s">
        <v>1277</v>
      </c>
      <c r="C82" s="51" t="s">
        <v>1277</v>
      </c>
      <c r="D82" s="51" t="s">
        <v>2294</v>
      </c>
      <c r="E82" s="51" t="s">
        <v>1368</v>
      </c>
      <c r="F82" s="237" t="s">
        <v>3324</v>
      </c>
      <c r="H82" s="51" t="s">
        <v>3407</v>
      </c>
      <c r="I82" s="51" t="s">
        <v>3408</v>
      </c>
      <c r="J82" s="51" t="str">
        <f t="shared" si="1"/>
        <v>GoldJiangxi Copper Company Limited</v>
      </c>
    </row>
    <row r="83" spans="1:10" ht="10.5" customHeight="1">
      <c r="A83" s="51" t="s">
        <v>2436</v>
      </c>
      <c r="B83" s="51" t="s">
        <v>2043</v>
      </c>
      <c r="C83" s="51" t="s">
        <v>4518</v>
      </c>
      <c r="D83" s="51" t="s">
        <v>2290</v>
      </c>
      <c r="E83" s="51" t="s">
        <v>1370</v>
      </c>
      <c r="F83" s="237" t="s">
        <v>3324</v>
      </c>
      <c r="H83" s="51" t="s">
        <v>3413</v>
      </c>
      <c r="I83" s="51" t="s">
        <v>3414</v>
      </c>
      <c r="J83" s="51" t="str">
        <f t="shared" si="1"/>
        <v>GoldJohnson Matthey Canada</v>
      </c>
    </row>
    <row r="84" spans="1:10" ht="10.5" customHeight="1">
      <c r="A84" s="51" t="s">
        <v>2436</v>
      </c>
      <c r="B84" s="51" t="s">
        <v>4403</v>
      </c>
      <c r="C84" s="51" t="s">
        <v>4519</v>
      </c>
      <c r="D84" s="51" t="s">
        <v>1867</v>
      </c>
      <c r="E84" s="51" t="s">
        <v>1369</v>
      </c>
      <c r="F84" s="237" t="s">
        <v>3324</v>
      </c>
      <c r="H84" s="51" t="s">
        <v>3410</v>
      </c>
      <c r="I84" s="51" t="s">
        <v>3411</v>
      </c>
      <c r="J84" s="51" t="str">
        <f t="shared" si="1"/>
        <v>GoldJohnson Matthey Inc.</v>
      </c>
    </row>
    <row r="85" spans="1:10" ht="10.5" customHeight="1">
      <c r="A85" s="51" t="s">
        <v>2436</v>
      </c>
      <c r="B85" s="51" t="s">
        <v>3412</v>
      </c>
      <c r="C85" s="51" t="s">
        <v>4519</v>
      </c>
      <c r="D85" s="51" t="s">
        <v>1867</v>
      </c>
      <c r="E85" s="51" t="s">
        <v>1369</v>
      </c>
      <c r="F85" s="237" t="s">
        <v>3324</v>
      </c>
      <c r="H85" s="51" t="s">
        <v>3410</v>
      </c>
      <c r="I85" s="51" t="s">
        <v>3411</v>
      </c>
      <c r="J85" s="51" t="str">
        <f t="shared" si="1"/>
        <v>GoldJohnson Matthey Inc. (USA)</v>
      </c>
    </row>
    <row r="86" spans="1:10" ht="10.5" customHeight="1">
      <c r="A86" s="51" t="s">
        <v>2436</v>
      </c>
      <c r="B86" s="51" t="s">
        <v>4404</v>
      </c>
      <c r="C86" s="51" t="s">
        <v>4518</v>
      </c>
      <c r="D86" s="51" t="s">
        <v>2290</v>
      </c>
      <c r="E86" s="51" t="s">
        <v>1370</v>
      </c>
      <c r="F86" s="237" t="s">
        <v>3324</v>
      </c>
      <c r="H86" s="51" t="s">
        <v>3413</v>
      </c>
      <c r="I86" s="51" t="s">
        <v>3414</v>
      </c>
      <c r="J86" s="51" t="str">
        <f t="shared" si="1"/>
        <v>GoldJohnson Matthey Limited</v>
      </c>
    </row>
    <row r="87" spans="1:10" ht="10.5" customHeight="1">
      <c r="A87" s="51" t="s">
        <v>2436</v>
      </c>
      <c r="B87" s="51" t="s">
        <v>1900</v>
      </c>
      <c r="C87" s="51" t="s">
        <v>1900</v>
      </c>
      <c r="D87" s="51" t="s">
        <v>1825</v>
      </c>
      <c r="E87" s="51" t="s">
        <v>1371</v>
      </c>
      <c r="F87" s="237" t="s">
        <v>3324</v>
      </c>
      <c r="H87" s="51" t="s">
        <v>3415</v>
      </c>
      <c r="I87" s="51" t="s">
        <v>3416</v>
      </c>
      <c r="J87" s="51" t="str">
        <f t="shared" si="1"/>
        <v>GoldJSC Ekaterinburg Non-Ferrous Metal Processing Plant</v>
      </c>
    </row>
    <row r="88" spans="1:10" ht="10.5" customHeight="1">
      <c r="A88" s="51" t="s">
        <v>2436</v>
      </c>
      <c r="B88" s="51" t="s">
        <v>2869</v>
      </c>
      <c r="C88" s="51" t="s">
        <v>2869</v>
      </c>
      <c r="D88" s="51" t="s">
        <v>1825</v>
      </c>
      <c r="E88" s="51" t="s">
        <v>1372</v>
      </c>
      <c r="F88" s="237" t="s">
        <v>3324</v>
      </c>
      <c r="H88" s="51" t="s">
        <v>3415</v>
      </c>
      <c r="I88" s="51" t="s">
        <v>3416</v>
      </c>
      <c r="J88" s="51" t="str">
        <f t="shared" si="1"/>
        <v>GoldJSC Uralelectromed</v>
      </c>
    </row>
    <row r="89" spans="1:10" ht="10.5" customHeight="1">
      <c r="A89" s="51" t="s">
        <v>2436</v>
      </c>
      <c r="B89" s="51" t="s">
        <v>88</v>
      </c>
      <c r="C89" s="51" t="s">
        <v>88</v>
      </c>
      <c r="D89" s="51" t="s">
        <v>2362</v>
      </c>
      <c r="E89" s="51" t="s">
        <v>1373</v>
      </c>
      <c r="F89" s="237" t="s">
        <v>3324</v>
      </c>
      <c r="H89" s="51" t="s">
        <v>3417</v>
      </c>
      <c r="I89" s="51" t="s">
        <v>3417</v>
      </c>
      <c r="J89" s="51" t="str">
        <f t="shared" si="1"/>
        <v>GoldJX Nippon Mining &amp; Metals Co., Ltd.</v>
      </c>
    </row>
    <row r="90" spans="1:10" ht="10.5" customHeight="1">
      <c r="A90" s="51" t="s">
        <v>2436</v>
      </c>
      <c r="B90" s="51" t="s">
        <v>3571</v>
      </c>
      <c r="C90" s="51" t="s">
        <v>3571</v>
      </c>
      <c r="D90" s="51" t="s">
        <v>2260</v>
      </c>
      <c r="E90" s="51" t="s">
        <v>3572</v>
      </c>
      <c r="F90" s="237" t="s">
        <v>3324</v>
      </c>
      <c r="H90" s="51" t="s">
        <v>3568</v>
      </c>
      <c r="I90" s="51" t="s">
        <v>3568</v>
      </c>
      <c r="J90" s="51" t="str">
        <f t="shared" si="1"/>
        <v>GoldKaloti Precious Metals</v>
      </c>
    </row>
    <row r="91" spans="1:10">
      <c r="A91" s="51" t="s">
        <v>2436</v>
      </c>
      <c r="B91" s="51" t="s">
        <v>4496</v>
      </c>
      <c r="C91" s="51" t="s">
        <v>4496</v>
      </c>
      <c r="D91" s="51" t="s">
        <v>2363</v>
      </c>
      <c r="E91" s="51" t="s">
        <v>4497</v>
      </c>
      <c r="F91" s="237" t="s">
        <v>3324</v>
      </c>
      <c r="H91" s="51" t="s">
        <v>4499</v>
      </c>
      <c r="I91" s="51" t="s">
        <v>4498</v>
      </c>
      <c r="J91" s="51" t="str">
        <f t="shared" si="1"/>
        <v>GoldKazakhmys Smelting LLC</v>
      </c>
    </row>
    <row r="92" spans="1:10" ht="10.5" customHeight="1">
      <c r="A92" s="51" t="s">
        <v>2436</v>
      </c>
      <c r="B92" s="51" t="s">
        <v>3418</v>
      </c>
      <c r="C92" s="51" t="s">
        <v>3418</v>
      </c>
      <c r="D92" s="51" t="s">
        <v>2363</v>
      </c>
      <c r="E92" s="51" t="s">
        <v>1374</v>
      </c>
      <c r="F92" s="237" t="s">
        <v>3324</v>
      </c>
      <c r="H92" s="51" t="s">
        <v>3419</v>
      </c>
      <c r="I92" s="51" t="s">
        <v>3420</v>
      </c>
      <c r="J92" s="51" t="str">
        <f t="shared" si="1"/>
        <v>GoldKazzinc</v>
      </c>
    </row>
    <row r="93" spans="1:10" ht="10.5" customHeight="1">
      <c r="A93" s="51" t="s">
        <v>2436</v>
      </c>
      <c r="B93" s="51" t="s">
        <v>1375</v>
      </c>
      <c r="C93" s="51" t="s">
        <v>1375</v>
      </c>
      <c r="D93" s="51" t="s">
        <v>1867</v>
      </c>
      <c r="E93" s="51" t="s">
        <v>1376</v>
      </c>
      <c r="F93" s="237" t="s">
        <v>3324</v>
      </c>
      <c r="H93" s="51" t="s">
        <v>3421</v>
      </c>
      <c r="I93" s="51" t="s">
        <v>3411</v>
      </c>
      <c r="J93" s="51" t="str">
        <f t="shared" si="1"/>
        <v>GoldKennecott Utah Copper LLC</v>
      </c>
    </row>
    <row r="94" spans="1:10" ht="10.5" customHeight="1">
      <c r="A94" s="51" t="s">
        <v>2436</v>
      </c>
      <c r="B94" s="51" t="s">
        <v>2825</v>
      </c>
      <c r="C94" s="51" t="s">
        <v>2825</v>
      </c>
      <c r="D94" s="51" t="s">
        <v>1816</v>
      </c>
      <c r="E94" s="51" t="s">
        <v>2826</v>
      </c>
      <c r="F94" s="237" t="s">
        <v>3324</v>
      </c>
      <c r="H94" s="51" t="s">
        <v>3560</v>
      </c>
      <c r="I94" s="51" t="s">
        <v>3561</v>
      </c>
      <c r="J94" s="51" t="str">
        <f t="shared" si="1"/>
        <v>GoldKGHM Polska Miedź Spółka Akcyjna</v>
      </c>
    </row>
    <row r="95" spans="1:10" ht="10.5" customHeight="1">
      <c r="A95" s="51" t="s">
        <v>2436</v>
      </c>
      <c r="B95" s="51" t="s">
        <v>4406</v>
      </c>
      <c r="C95" s="51" t="s">
        <v>4406</v>
      </c>
      <c r="D95" s="51" t="s">
        <v>2362</v>
      </c>
      <c r="E95" s="51" t="s">
        <v>1377</v>
      </c>
      <c r="F95" s="237" t="s">
        <v>3324</v>
      </c>
      <c r="H95" s="51" t="s">
        <v>3422</v>
      </c>
      <c r="I95" s="51" t="s">
        <v>3382</v>
      </c>
      <c r="J95" s="51" t="str">
        <f t="shared" si="1"/>
        <v>GoldKojima Chemicals Co., Ltd.</v>
      </c>
    </row>
    <row r="96" spans="1:10" ht="10.5" customHeight="1">
      <c r="A96" s="51" t="s">
        <v>2436</v>
      </c>
      <c r="B96" s="51" t="s">
        <v>3423</v>
      </c>
      <c r="C96" s="51" t="s">
        <v>4406</v>
      </c>
      <c r="D96" s="51" t="s">
        <v>2362</v>
      </c>
      <c r="E96" s="51" t="s">
        <v>1377</v>
      </c>
      <c r="F96" s="237" t="s">
        <v>3324</v>
      </c>
      <c r="H96" s="51" t="s">
        <v>3422</v>
      </c>
      <c r="I96" s="51" t="s">
        <v>3382</v>
      </c>
      <c r="J96" s="51" t="str">
        <f t="shared" si="1"/>
        <v>GoldKojima Kagaku Yakuhin Co., Ltd</v>
      </c>
    </row>
    <row r="97" spans="1:10" ht="10.5" customHeight="1">
      <c r="A97" s="51" t="s">
        <v>2436</v>
      </c>
      <c r="B97" s="51" t="s">
        <v>4550</v>
      </c>
      <c r="C97" s="51" t="s">
        <v>2825</v>
      </c>
      <c r="D97" s="51" t="s">
        <v>1816</v>
      </c>
      <c r="E97" s="51" t="s">
        <v>2826</v>
      </c>
      <c r="F97" s="237" t="s">
        <v>3324</v>
      </c>
      <c r="H97" s="51" t="s">
        <v>3560</v>
      </c>
      <c r="I97" s="51" t="s">
        <v>3561</v>
      </c>
      <c r="J97" s="51" t="str">
        <f t="shared" si="1"/>
        <v>GoldKombinat Gorniczo Hutniczy Miedz Polska Miedz S.A.</v>
      </c>
    </row>
    <row r="98" spans="1:10" ht="10.5" customHeight="1">
      <c r="A98" s="51" t="s">
        <v>2436</v>
      </c>
      <c r="B98" s="51" t="s">
        <v>4407</v>
      </c>
      <c r="C98" s="51" t="s">
        <v>4407</v>
      </c>
      <c r="D98" s="51" t="s">
        <v>2369</v>
      </c>
      <c r="E98" s="51" t="s">
        <v>1378</v>
      </c>
      <c r="F98" s="237" t="s">
        <v>3324</v>
      </c>
      <c r="H98" s="51" t="s">
        <v>3424</v>
      </c>
      <c r="I98" s="51" t="s">
        <v>3425</v>
      </c>
      <c r="J98" s="51" t="str">
        <f t="shared" si="1"/>
        <v>GoldKorea Metal Co., Ltd.</v>
      </c>
    </row>
    <row r="99" spans="1:10" ht="10.5" customHeight="1">
      <c r="A99" s="51" t="s">
        <v>2436</v>
      </c>
      <c r="B99" s="51" t="s">
        <v>3579</v>
      </c>
      <c r="C99" s="51" t="s">
        <v>3579</v>
      </c>
      <c r="D99" s="51" t="s">
        <v>2369</v>
      </c>
      <c r="E99" s="51" t="s">
        <v>3580</v>
      </c>
      <c r="F99" s="237" t="s">
        <v>3324</v>
      </c>
      <c r="H99" s="51" t="s">
        <v>3581</v>
      </c>
      <c r="I99" s="51" t="s">
        <v>3425</v>
      </c>
      <c r="J99" s="51" t="str">
        <f t="shared" si="1"/>
        <v>GoldKorea Zinc Co. Ltd.</v>
      </c>
    </row>
    <row r="100" spans="1:10" ht="10.5" customHeight="1">
      <c r="A100" s="51" t="s">
        <v>2436</v>
      </c>
      <c r="B100" s="51" t="s">
        <v>1619</v>
      </c>
      <c r="C100" s="51" t="s">
        <v>1619</v>
      </c>
      <c r="D100" s="51" t="s">
        <v>2365</v>
      </c>
      <c r="E100" s="51" t="s">
        <v>1379</v>
      </c>
      <c r="F100" s="237" t="s">
        <v>3324</v>
      </c>
      <c r="H100" s="51" t="s">
        <v>3426</v>
      </c>
      <c r="I100" s="51" t="s">
        <v>3427</v>
      </c>
      <c r="J100" s="51" t="str">
        <f t="shared" si="1"/>
        <v>GoldKyrgyzaltyn JSC</v>
      </c>
    </row>
    <row r="101" spans="1:10" ht="10.5" customHeight="1">
      <c r="A101" s="51" t="s">
        <v>2436</v>
      </c>
      <c r="B101" s="51" t="s">
        <v>1278</v>
      </c>
      <c r="C101" s="51" t="s">
        <v>1278</v>
      </c>
      <c r="D101" s="51" t="s">
        <v>1827</v>
      </c>
      <c r="E101" s="51" t="s">
        <v>1380</v>
      </c>
      <c r="F101" s="237" t="s">
        <v>3324</v>
      </c>
      <c r="H101" s="51" t="s">
        <v>3428</v>
      </c>
      <c r="I101" s="51" t="s">
        <v>3429</v>
      </c>
      <c r="J101" s="51" t="str">
        <f t="shared" si="1"/>
        <v>GoldL' azurde Company For Jewelry</v>
      </c>
    </row>
    <row r="102" spans="1:10" ht="10.5" customHeight="1">
      <c r="A102" s="51" t="s">
        <v>2436</v>
      </c>
      <c r="B102" s="51" t="s">
        <v>4551</v>
      </c>
      <c r="C102" s="51" t="s">
        <v>1896</v>
      </c>
      <c r="D102" s="52" t="s">
        <v>2388</v>
      </c>
      <c r="E102" s="51" t="s">
        <v>1343</v>
      </c>
      <c r="F102" s="237" t="s">
        <v>3324</v>
      </c>
      <c r="H102" s="51" t="s">
        <v>3355</v>
      </c>
      <c r="I102" s="51" t="s">
        <v>3356</v>
      </c>
      <c r="J102" s="51" t="str">
        <f t="shared" si="1"/>
        <v>GoldLa Caridad</v>
      </c>
    </row>
    <row r="103" spans="1:10" ht="10.5" customHeight="1">
      <c r="A103" s="51" t="s">
        <v>2436</v>
      </c>
      <c r="B103" s="51" t="s">
        <v>48</v>
      </c>
      <c r="C103" s="51" t="s">
        <v>4425</v>
      </c>
      <c r="D103" s="51" t="s">
        <v>2294</v>
      </c>
      <c r="E103" s="51" t="s">
        <v>1421</v>
      </c>
      <c r="F103" s="237" t="s">
        <v>3324</v>
      </c>
      <c r="H103" s="51" t="s">
        <v>3496</v>
      </c>
      <c r="I103" s="51" t="s">
        <v>3473</v>
      </c>
      <c r="J103" s="51" t="str">
        <f t="shared" si="1"/>
        <v>GoldLAIZHOU SHANDONG</v>
      </c>
    </row>
    <row r="104" spans="1:10" ht="10.5" customHeight="1">
      <c r="A104" s="51" t="s">
        <v>2436</v>
      </c>
      <c r="B104" s="51" t="s">
        <v>2827</v>
      </c>
      <c r="C104" s="51" t="s">
        <v>2827</v>
      </c>
      <c r="D104" s="51" t="s">
        <v>2294</v>
      </c>
      <c r="E104" s="51" t="s">
        <v>2828</v>
      </c>
      <c r="F104" s="237" t="s">
        <v>3324</v>
      </c>
      <c r="H104" s="51" t="s">
        <v>3430</v>
      </c>
      <c r="I104" s="51" t="s">
        <v>3431</v>
      </c>
      <c r="J104" s="51" t="str">
        <f t="shared" si="1"/>
        <v>GoldLingbao Gold Company Limited</v>
      </c>
    </row>
    <row r="105" spans="1:10" ht="10.5" customHeight="1">
      <c r="A105" s="51" t="s">
        <v>2436</v>
      </c>
      <c r="B105" s="51" t="s">
        <v>4408</v>
      </c>
      <c r="C105" s="51" t="s">
        <v>4408</v>
      </c>
      <c r="D105" s="51" t="s">
        <v>2294</v>
      </c>
      <c r="E105" s="51" t="s">
        <v>1381</v>
      </c>
      <c r="F105" s="237" t="s">
        <v>3324</v>
      </c>
      <c r="H105" s="51" t="s">
        <v>3430</v>
      </c>
      <c r="I105" s="51" t="s">
        <v>3431</v>
      </c>
      <c r="J105" s="51" t="str">
        <f t="shared" si="1"/>
        <v>GoldLingbao Jinyuan Tonghui Refinery Co., Ltd.</v>
      </c>
    </row>
    <row r="106" spans="1:10" ht="10.5" customHeight="1">
      <c r="A106" s="51" t="s">
        <v>2436</v>
      </c>
      <c r="B106" s="51" t="s">
        <v>89</v>
      </c>
      <c r="C106" s="51" t="s">
        <v>89</v>
      </c>
      <c r="D106" s="51" t="s">
        <v>2369</v>
      </c>
      <c r="E106" s="51" t="s">
        <v>1382</v>
      </c>
      <c r="F106" s="237" t="s">
        <v>3324</v>
      </c>
      <c r="H106" s="51" t="s">
        <v>3432</v>
      </c>
      <c r="I106" s="51" t="s">
        <v>3433</v>
      </c>
      <c r="J106" s="51" t="str">
        <f t="shared" si="1"/>
        <v>GoldLS-NIKKO Copper Inc.</v>
      </c>
    </row>
    <row r="107" spans="1:10" ht="10.5" customHeight="1">
      <c r="A107" s="51" t="s">
        <v>2436</v>
      </c>
      <c r="B107" s="51" t="s">
        <v>3434</v>
      </c>
      <c r="C107" s="51" t="s">
        <v>3434</v>
      </c>
      <c r="D107" s="51" t="s">
        <v>2294</v>
      </c>
      <c r="E107" s="51" t="s">
        <v>1384</v>
      </c>
      <c r="F107" s="237" t="s">
        <v>3324</v>
      </c>
      <c r="H107" s="51" t="s">
        <v>3435</v>
      </c>
      <c r="I107" s="51" t="s">
        <v>3431</v>
      </c>
      <c r="J107" s="51" t="str">
        <f t="shared" si="1"/>
        <v>GoldLuoyang Zijin Yinhui Gold Refinery Co., Ltd.</v>
      </c>
    </row>
    <row r="108" spans="1:10" ht="10.5" customHeight="1">
      <c r="A108" s="51" t="s">
        <v>2436</v>
      </c>
      <c r="B108" s="51" t="s">
        <v>49</v>
      </c>
      <c r="C108" s="51" t="s">
        <v>3434</v>
      </c>
      <c r="D108" s="51" t="s">
        <v>2294</v>
      </c>
      <c r="E108" s="51" t="s">
        <v>1384</v>
      </c>
      <c r="F108" s="237" t="s">
        <v>3324</v>
      </c>
      <c r="H108" s="51" t="s">
        <v>3435</v>
      </c>
      <c r="I108" s="51" t="s">
        <v>3431</v>
      </c>
      <c r="J108" s="51" t="str">
        <f t="shared" si="1"/>
        <v>GoldLuoyang Zijin Yinhui Gold Smelting</v>
      </c>
    </row>
    <row r="109" spans="1:10" ht="10.5" customHeight="1">
      <c r="A109" s="51" t="s">
        <v>2436</v>
      </c>
      <c r="B109" s="51" t="s">
        <v>1383</v>
      </c>
      <c r="C109" s="51" t="s">
        <v>3434</v>
      </c>
      <c r="D109" s="51" t="s">
        <v>2294</v>
      </c>
      <c r="E109" s="51" t="s">
        <v>1384</v>
      </c>
      <c r="F109" s="237" t="s">
        <v>3324</v>
      </c>
      <c r="H109" s="51" t="s">
        <v>3435</v>
      </c>
      <c r="I109" s="51" t="s">
        <v>3431</v>
      </c>
      <c r="J109" s="51" t="str">
        <f t="shared" si="1"/>
        <v>GoldLuoyang Zijin Yinhui Metal Smelt Co Ltd</v>
      </c>
    </row>
    <row r="110" spans="1:10" ht="10.5" customHeight="1">
      <c r="A110" s="51" t="s">
        <v>2436</v>
      </c>
      <c r="B110" s="51" t="s">
        <v>1901</v>
      </c>
      <c r="C110" s="51" t="s">
        <v>1901</v>
      </c>
      <c r="D110" s="51" t="s">
        <v>1867</v>
      </c>
      <c r="E110" s="51" t="s">
        <v>1385</v>
      </c>
      <c r="F110" s="237" t="s">
        <v>3324</v>
      </c>
      <c r="H110" s="51" t="s">
        <v>3436</v>
      </c>
      <c r="I110" s="51" t="s">
        <v>3437</v>
      </c>
      <c r="J110" s="51" t="str">
        <f t="shared" si="1"/>
        <v>GoldMaterion</v>
      </c>
    </row>
    <row r="111" spans="1:10" ht="10.5" customHeight="1">
      <c r="A111" s="51" t="s">
        <v>2436</v>
      </c>
      <c r="B111" s="51" t="s">
        <v>90</v>
      </c>
      <c r="C111" s="51" t="s">
        <v>90</v>
      </c>
      <c r="D111" s="51" t="s">
        <v>2362</v>
      </c>
      <c r="E111" s="51" t="s">
        <v>1386</v>
      </c>
      <c r="F111" s="237" t="s">
        <v>3324</v>
      </c>
      <c r="H111" s="51" t="s">
        <v>3438</v>
      </c>
      <c r="I111" s="51" t="s">
        <v>3382</v>
      </c>
      <c r="J111" s="51" t="str">
        <f t="shared" si="1"/>
        <v>GoldMatsuda Sangyo Co., Ltd.</v>
      </c>
    </row>
    <row r="112" spans="1:10" ht="10.5" customHeight="1">
      <c r="A112" s="51" t="s">
        <v>2436</v>
      </c>
      <c r="B112" s="51" t="s">
        <v>50</v>
      </c>
      <c r="C112" s="51" t="s">
        <v>93</v>
      </c>
      <c r="D112" s="51" t="s">
        <v>2362</v>
      </c>
      <c r="E112" s="51" t="s">
        <v>1418</v>
      </c>
      <c r="F112" s="237" t="s">
        <v>3324</v>
      </c>
      <c r="H112" s="51" t="s">
        <v>3507</v>
      </c>
      <c r="I112" s="51" t="s">
        <v>4538</v>
      </c>
      <c r="J112" s="51" t="str">
        <f t="shared" si="1"/>
        <v>GoldMEM(Sumitomo Group)</v>
      </c>
    </row>
    <row r="113" spans="1:10" ht="10.5" customHeight="1">
      <c r="A113" s="51" t="s">
        <v>2436</v>
      </c>
      <c r="B113" s="302" t="s">
        <v>4578</v>
      </c>
      <c r="C113" s="302" t="s">
        <v>4578</v>
      </c>
      <c r="D113" s="303" t="s">
        <v>2402</v>
      </c>
      <c r="E113" s="303" t="s">
        <v>4587</v>
      </c>
      <c r="F113" s="237" t="s">
        <v>3324</v>
      </c>
      <c r="H113" s="51" t="s">
        <v>4588</v>
      </c>
      <c r="I113" s="51" t="s">
        <v>4580</v>
      </c>
      <c r="J113" s="51" t="str">
        <f t="shared" si="1"/>
        <v>GoldMetahub Industries Sdn. Bhd.</v>
      </c>
    </row>
    <row r="114" spans="1:10" ht="10.5" customHeight="1">
      <c r="A114" s="51" t="s">
        <v>2436</v>
      </c>
      <c r="B114" s="51" t="s">
        <v>2492</v>
      </c>
      <c r="C114" s="51" t="s">
        <v>2569</v>
      </c>
      <c r="D114" s="51" t="s">
        <v>2292</v>
      </c>
      <c r="E114" s="51" t="s">
        <v>1389</v>
      </c>
      <c r="F114" s="237" t="s">
        <v>3324</v>
      </c>
      <c r="H114" s="51" t="s">
        <v>3446</v>
      </c>
      <c r="I114" s="51" t="s">
        <v>3447</v>
      </c>
      <c r="J114" s="51" t="str">
        <f t="shared" si="1"/>
        <v>GoldMetalor Switzerland</v>
      </c>
    </row>
    <row r="115" spans="1:10" ht="10.5" customHeight="1">
      <c r="A115" s="51" t="s">
        <v>2436</v>
      </c>
      <c r="B115" s="51" t="s">
        <v>4410</v>
      </c>
      <c r="C115" s="51" t="s">
        <v>4410</v>
      </c>
      <c r="D115" s="51" t="s">
        <v>2294</v>
      </c>
      <c r="E115" s="51" t="s">
        <v>1387</v>
      </c>
      <c r="F115" s="237" t="s">
        <v>3324</v>
      </c>
      <c r="H115" s="51" t="s">
        <v>3443</v>
      </c>
      <c r="I115" s="51" t="s">
        <v>3395</v>
      </c>
      <c r="J115" s="51" t="str">
        <f t="shared" si="1"/>
        <v>GoldMetalor Technologies (Hong Kong) Ltd.</v>
      </c>
    </row>
    <row r="116" spans="1:10" ht="10.5" customHeight="1">
      <c r="A116" s="51" t="s">
        <v>2436</v>
      </c>
      <c r="B116" s="51" t="s">
        <v>4411</v>
      </c>
      <c r="C116" s="51" t="s">
        <v>4411</v>
      </c>
      <c r="D116" s="51" t="s">
        <v>1830</v>
      </c>
      <c r="E116" s="51" t="s">
        <v>1388</v>
      </c>
      <c r="F116" s="237" t="s">
        <v>3324</v>
      </c>
      <c r="H116" s="51" t="s">
        <v>3444</v>
      </c>
      <c r="I116" s="51" t="s">
        <v>3445</v>
      </c>
      <c r="J116" s="51" t="str">
        <f t="shared" si="1"/>
        <v>GoldMetalor Technologies (Singapore) Pte., Ltd.</v>
      </c>
    </row>
    <row r="117" spans="1:10" ht="10.5" customHeight="1">
      <c r="A117" s="51" t="s">
        <v>2436</v>
      </c>
      <c r="B117" s="51" t="s">
        <v>3439</v>
      </c>
      <c r="C117" s="51" t="s">
        <v>3439</v>
      </c>
      <c r="D117" s="51" t="s">
        <v>2294</v>
      </c>
      <c r="E117" s="51" t="s">
        <v>3440</v>
      </c>
      <c r="F117" s="237" t="s">
        <v>3324</v>
      </c>
      <c r="H117" s="51" t="s">
        <v>3441</v>
      </c>
      <c r="I117" s="51" t="s">
        <v>3442</v>
      </c>
      <c r="J117" s="51" t="str">
        <f t="shared" si="1"/>
        <v>GoldMetalor Technologies (Suzhou) Ltd.</v>
      </c>
    </row>
    <row r="118" spans="1:10" ht="10.5" customHeight="1">
      <c r="A118" s="51" t="s">
        <v>2436</v>
      </c>
      <c r="B118" s="51" t="s">
        <v>2569</v>
      </c>
      <c r="C118" s="51" t="s">
        <v>2569</v>
      </c>
      <c r="D118" s="51" t="s">
        <v>2292</v>
      </c>
      <c r="E118" s="51" t="s">
        <v>1389</v>
      </c>
      <c r="F118" s="237" t="s">
        <v>3324</v>
      </c>
      <c r="H118" s="51" t="s">
        <v>3446</v>
      </c>
      <c r="I118" s="51" t="s">
        <v>3447</v>
      </c>
      <c r="J118" s="51" t="str">
        <f t="shared" si="1"/>
        <v>GoldMetalor Technologies SA</v>
      </c>
    </row>
    <row r="119" spans="1:10" ht="10.5" customHeight="1">
      <c r="A119" s="51" t="s">
        <v>2436</v>
      </c>
      <c r="B119" s="51" t="s">
        <v>2570</v>
      </c>
      <c r="C119" s="51" t="s">
        <v>2570</v>
      </c>
      <c r="D119" s="51" t="s">
        <v>1867</v>
      </c>
      <c r="E119" s="51" t="s">
        <v>1390</v>
      </c>
      <c r="F119" s="237" t="s">
        <v>3324</v>
      </c>
      <c r="H119" s="51" t="s">
        <v>3448</v>
      </c>
      <c r="I119" s="51" t="s">
        <v>3449</v>
      </c>
      <c r="J119" s="51" t="str">
        <f t="shared" si="1"/>
        <v>GoldMetalor USA Refining Corporation</v>
      </c>
    </row>
    <row r="120" spans="1:10" ht="10.5" customHeight="1">
      <c r="A120" s="51" t="s">
        <v>2436</v>
      </c>
      <c r="B120" s="51" t="s">
        <v>4546</v>
      </c>
      <c r="C120" s="51" t="s">
        <v>4546</v>
      </c>
      <c r="D120" s="51" t="s">
        <v>2388</v>
      </c>
      <c r="E120" s="51" t="s">
        <v>1391</v>
      </c>
      <c r="F120" s="237" t="s">
        <v>3324</v>
      </c>
      <c r="H120" s="51" t="s">
        <v>3450</v>
      </c>
      <c r="I120" s="51" t="s">
        <v>3451</v>
      </c>
      <c r="J120" s="51" t="str">
        <f t="shared" si="1"/>
        <v>GoldMETALÚRGICA MET-MEX PEÑOLES, S.A. DE C.V</v>
      </c>
    </row>
    <row r="121" spans="1:10" ht="10.5" customHeight="1">
      <c r="A121" s="51" t="s">
        <v>2436</v>
      </c>
      <c r="B121" s="51" t="s">
        <v>4393</v>
      </c>
      <c r="C121" s="51" t="s">
        <v>4546</v>
      </c>
      <c r="D121" s="51" t="s">
        <v>2388</v>
      </c>
      <c r="E121" s="51" t="s">
        <v>1391</v>
      </c>
      <c r="F121" s="237" t="s">
        <v>3324</v>
      </c>
      <c r="H121" s="51" t="s">
        <v>3450</v>
      </c>
      <c r="I121" s="51" t="s">
        <v>3451</v>
      </c>
      <c r="J121" s="51" t="str">
        <f t="shared" si="1"/>
        <v>GoldMet-Mex Penoles, S.A.</v>
      </c>
    </row>
    <row r="122" spans="1:10" ht="10.5" customHeight="1">
      <c r="A122" s="51" t="s">
        <v>2436</v>
      </c>
      <c r="B122" s="51" t="s">
        <v>2484</v>
      </c>
      <c r="C122" s="51" t="s">
        <v>2484</v>
      </c>
      <c r="D122" s="51" t="s">
        <v>2362</v>
      </c>
      <c r="E122" s="51" t="s">
        <v>1392</v>
      </c>
      <c r="F122" s="237" t="s">
        <v>3324</v>
      </c>
      <c r="H122" s="51" t="s">
        <v>3452</v>
      </c>
      <c r="I122" s="51" t="s">
        <v>4537</v>
      </c>
      <c r="J122" s="51" t="str">
        <f t="shared" si="1"/>
        <v>GoldMitsubishi Materials Corporation</v>
      </c>
    </row>
    <row r="123" spans="1:10" ht="10.5" customHeight="1">
      <c r="A123" s="51" t="s">
        <v>2436</v>
      </c>
      <c r="B123" s="51" t="s">
        <v>3455</v>
      </c>
      <c r="C123" s="51" t="s">
        <v>2571</v>
      </c>
      <c r="D123" s="51" t="s">
        <v>2362</v>
      </c>
      <c r="E123" s="51" t="s">
        <v>1393</v>
      </c>
      <c r="F123" s="237" t="s">
        <v>3324</v>
      </c>
      <c r="H123" s="51" t="s">
        <v>3454</v>
      </c>
      <c r="I123" s="51" t="s">
        <v>3453</v>
      </c>
      <c r="J123" s="51" t="str">
        <f t="shared" si="1"/>
        <v>GoldMitsui Kinzoku Co., Ltd.</v>
      </c>
    </row>
    <row r="124" spans="1:10" ht="10.5" customHeight="1">
      <c r="A124" s="51" t="s">
        <v>2436</v>
      </c>
      <c r="B124" s="51" t="s">
        <v>2571</v>
      </c>
      <c r="C124" s="51" t="s">
        <v>2571</v>
      </c>
      <c r="D124" s="51" t="s">
        <v>2362</v>
      </c>
      <c r="E124" s="51" t="s">
        <v>1393</v>
      </c>
      <c r="F124" s="237" t="s">
        <v>3324</v>
      </c>
      <c r="H124" s="51" t="s">
        <v>3454</v>
      </c>
      <c r="I124" s="51" t="s">
        <v>3453</v>
      </c>
      <c r="J124" s="51" t="str">
        <f t="shared" si="1"/>
        <v>GoldMitsui Mining and Smelting Co., Ltd.</v>
      </c>
    </row>
    <row r="125" spans="1:10" ht="10.5" customHeight="1">
      <c r="A125" s="51" t="s">
        <v>2436</v>
      </c>
      <c r="B125" s="51" t="s">
        <v>4439</v>
      </c>
      <c r="C125" s="51" t="s">
        <v>4439</v>
      </c>
      <c r="D125" s="51" t="s">
        <v>2352</v>
      </c>
      <c r="E125" s="51" t="s">
        <v>2829</v>
      </c>
      <c r="F125" s="237" t="s">
        <v>3324</v>
      </c>
      <c r="H125" s="51" t="s">
        <v>3556</v>
      </c>
      <c r="I125" s="51" t="s">
        <v>3557</v>
      </c>
      <c r="J125" s="51" t="str">
        <f t="shared" si="1"/>
        <v>GoldMMTC-PAMP India Pvt., Ltd.</v>
      </c>
    </row>
    <row r="126" spans="1:10" ht="10.5" customHeight="1">
      <c r="A126" s="51" t="s">
        <v>2436</v>
      </c>
      <c r="B126" s="51" t="s">
        <v>4532</v>
      </c>
      <c r="C126" s="51" t="s">
        <v>4532</v>
      </c>
      <c r="D126" s="51" t="s">
        <v>2415</v>
      </c>
      <c r="E126" s="51" t="s">
        <v>4534</v>
      </c>
      <c r="F126" s="237" t="s">
        <v>3324</v>
      </c>
      <c r="H126" s="51" t="s">
        <v>4533</v>
      </c>
      <c r="I126" s="51" t="s">
        <v>4535</v>
      </c>
      <c r="J126" s="51" t="str">
        <f t="shared" si="1"/>
        <v>GoldMorris and Watson</v>
      </c>
    </row>
    <row r="127" spans="1:10" ht="10.5" customHeight="1">
      <c r="A127" s="51" t="s">
        <v>2436</v>
      </c>
      <c r="B127" s="51" t="s">
        <v>1902</v>
      </c>
      <c r="C127" s="51" t="s">
        <v>1902</v>
      </c>
      <c r="D127" s="51" t="s">
        <v>1825</v>
      </c>
      <c r="E127" s="51" t="s">
        <v>1394</v>
      </c>
      <c r="F127" s="237" t="s">
        <v>3324</v>
      </c>
      <c r="H127" s="51" t="s">
        <v>3456</v>
      </c>
      <c r="I127" s="51" t="s">
        <v>3457</v>
      </c>
      <c r="J127" s="51" t="str">
        <f t="shared" si="1"/>
        <v>GoldMoscow Special Alloys Processing Plant</v>
      </c>
    </row>
    <row r="128" spans="1:10" ht="10.5" customHeight="1">
      <c r="A128" s="51" t="s">
        <v>2436</v>
      </c>
      <c r="B128" s="51" t="s">
        <v>2581</v>
      </c>
      <c r="C128" s="51" t="s">
        <v>2581</v>
      </c>
      <c r="D128" s="51" t="s">
        <v>1859</v>
      </c>
      <c r="E128" s="51" t="s">
        <v>1395</v>
      </c>
      <c r="F128" s="237" t="s">
        <v>3324</v>
      </c>
      <c r="H128" s="51" t="s">
        <v>3458</v>
      </c>
      <c r="I128" s="51" t="s">
        <v>3345</v>
      </c>
      <c r="J128" s="51" t="str">
        <f t="shared" si="1"/>
        <v>GoldNadir Metal Rafineri San. Ve Tic. A.Ş.</v>
      </c>
    </row>
    <row r="129" spans="1:10" ht="10.5" customHeight="1">
      <c r="A129" s="51" t="s">
        <v>2436</v>
      </c>
      <c r="B129" s="51" t="s">
        <v>2572</v>
      </c>
      <c r="C129" s="51" t="s">
        <v>2572</v>
      </c>
      <c r="D129" s="51" t="s">
        <v>1868</v>
      </c>
      <c r="E129" s="51" t="s">
        <v>1396</v>
      </c>
      <c r="F129" s="237" t="s">
        <v>3324</v>
      </c>
      <c r="H129" s="51" t="s">
        <v>3459</v>
      </c>
      <c r="I129" s="51" t="s">
        <v>3460</v>
      </c>
      <c r="J129" s="51" t="str">
        <f t="shared" si="1"/>
        <v>GoldNavoi Mining and Metallurgical Combinat</v>
      </c>
    </row>
    <row r="130" spans="1:10" ht="10.5" customHeight="1">
      <c r="A130" s="51" t="s">
        <v>2436</v>
      </c>
      <c r="B130" s="51" t="s">
        <v>4414</v>
      </c>
      <c r="C130" s="51" t="s">
        <v>4414</v>
      </c>
      <c r="D130" s="51" t="s">
        <v>2362</v>
      </c>
      <c r="E130" s="51" t="s">
        <v>1397</v>
      </c>
      <c r="F130" s="237" t="s">
        <v>3324</v>
      </c>
      <c r="H130" s="51" t="s">
        <v>3461</v>
      </c>
      <c r="I130" s="51" t="s">
        <v>3462</v>
      </c>
      <c r="J130" s="51" t="str">
        <f t="shared" si="1"/>
        <v>GoldNihon Material Co., Ltd.</v>
      </c>
    </row>
    <row r="131" spans="1:10" ht="10.5" customHeight="1">
      <c r="A131" s="51" t="s">
        <v>2436</v>
      </c>
      <c r="B131" s="51" t="s">
        <v>3349</v>
      </c>
      <c r="C131" s="51" t="s">
        <v>2564</v>
      </c>
      <c r="D131" s="52" t="s">
        <v>2308</v>
      </c>
      <c r="E131" s="51" t="s">
        <v>1336</v>
      </c>
      <c r="F131" s="237" t="s">
        <v>3324</v>
      </c>
      <c r="H131" s="51" t="s">
        <v>3347</v>
      </c>
      <c r="I131" s="51" t="s">
        <v>3348</v>
      </c>
      <c r="J131" s="51" t="str">
        <f t="shared" si="1"/>
        <v>GoldNorddeutsche Affinererie AG</v>
      </c>
    </row>
    <row r="132" spans="1:10" ht="10.5" customHeight="1">
      <c r="A132" s="51" t="s">
        <v>2436</v>
      </c>
      <c r="B132" s="51" t="s">
        <v>4525</v>
      </c>
      <c r="C132" s="51" t="s">
        <v>4525</v>
      </c>
      <c r="D132" s="51" t="s">
        <v>2268</v>
      </c>
      <c r="E132" s="51" t="s">
        <v>4528</v>
      </c>
      <c r="F132" s="237" t="s">
        <v>3324</v>
      </c>
      <c r="H132" s="51" t="s">
        <v>4529</v>
      </c>
      <c r="I132" s="51" t="s">
        <v>4529</v>
      </c>
      <c r="J132" s="51" t="str">
        <f t="shared" si="1"/>
        <v>GoldÖgussa Österreichische Gold- und Silber-Scheideanstalt GmbH</v>
      </c>
    </row>
    <row r="133" spans="1:10" ht="10.5" customHeight="1">
      <c r="A133" s="51" t="s">
        <v>2436</v>
      </c>
      <c r="B133" s="51" t="s">
        <v>91</v>
      </c>
      <c r="C133" s="51" t="s">
        <v>4520</v>
      </c>
      <c r="D133" s="51" t="s">
        <v>1867</v>
      </c>
      <c r="E133" s="51" t="s">
        <v>1398</v>
      </c>
      <c r="F133" s="237" t="s">
        <v>3324</v>
      </c>
      <c r="H133" s="51" t="s">
        <v>3463</v>
      </c>
      <c r="I133" s="51" t="s">
        <v>3464</v>
      </c>
      <c r="J133" s="51" t="str">
        <f t="shared" si="1"/>
        <v>GoldOhio Precious Metals, LLC</v>
      </c>
    </row>
    <row r="134" spans="1:10" ht="10.5" customHeight="1">
      <c r="A134" s="51" t="s">
        <v>2436</v>
      </c>
      <c r="B134" s="51" t="s">
        <v>4415</v>
      </c>
      <c r="C134" s="51" t="s">
        <v>4415</v>
      </c>
      <c r="D134" s="51" t="s">
        <v>2362</v>
      </c>
      <c r="E134" s="51" t="s">
        <v>1399</v>
      </c>
      <c r="F134" s="237" t="s">
        <v>3324</v>
      </c>
      <c r="H134" s="51" t="s">
        <v>3465</v>
      </c>
      <c r="I134" s="51" t="s">
        <v>3466</v>
      </c>
      <c r="J134" s="51" t="str">
        <f t="shared" si="1"/>
        <v>GoldOhura Precious Metal Industry Co., Ltd.</v>
      </c>
    </row>
    <row r="135" spans="1:10" ht="10.5" customHeight="1">
      <c r="A135" s="51" t="s">
        <v>2436</v>
      </c>
      <c r="B135" s="51" t="s">
        <v>4593</v>
      </c>
      <c r="C135" s="51" t="s">
        <v>4593</v>
      </c>
      <c r="D135" s="51" t="s">
        <v>1825</v>
      </c>
      <c r="E135" s="51" t="s">
        <v>1400</v>
      </c>
      <c r="F135" s="237" t="s">
        <v>3324</v>
      </c>
      <c r="H135" s="51" t="s">
        <v>3467</v>
      </c>
      <c r="I135" s="51" t="s">
        <v>3468</v>
      </c>
      <c r="J135" s="51" t="str">
        <f t="shared" si="1"/>
        <v>GoldOJSC "The Gulidov Krasnoyarsk Non-Ferrous Metals Plant" (OJSC Krastvetmet)</v>
      </c>
    </row>
    <row r="136" spans="1:10" ht="10.5" customHeight="1">
      <c r="A136" s="51" t="s">
        <v>2436</v>
      </c>
      <c r="B136" s="51" t="s">
        <v>2578</v>
      </c>
      <c r="C136" s="51" t="s">
        <v>2578</v>
      </c>
      <c r="D136" s="51" t="s">
        <v>1825</v>
      </c>
      <c r="E136" s="51" t="s">
        <v>1401</v>
      </c>
      <c r="F136" s="237" t="s">
        <v>3324</v>
      </c>
      <c r="H136" s="51" t="s">
        <v>3470</v>
      </c>
      <c r="I136" s="51" t="s">
        <v>3471</v>
      </c>
      <c r="J136" s="51" t="str">
        <f t="shared" si="1"/>
        <v>GoldOJSC Kolyma Refinery</v>
      </c>
    </row>
    <row r="137" spans="1:10" ht="10.5" customHeight="1">
      <c r="A137" s="51" t="s">
        <v>2436</v>
      </c>
      <c r="B137" s="51" t="s">
        <v>3469</v>
      </c>
      <c r="C137" s="51" t="s">
        <v>4593</v>
      </c>
      <c r="D137" s="51" t="s">
        <v>1825</v>
      </c>
      <c r="E137" s="51" t="s">
        <v>1400</v>
      </c>
      <c r="F137" s="237" t="s">
        <v>3324</v>
      </c>
      <c r="H137" s="51" t="s">
        <v>3467</v>
      </c>
      <c r="I137" s="51" t="s">
        <v>3468</v>
      </c>
      <c r="J137" s="51" t="str">
        <f t="shared" ref="J137:J200" si="2">A137&amp;B137</f>
        <v>GoldOJSC Krastsvetmet</v>
      </c>
    </row>
    <row r="138" spans="1:10" ht="10.5" customHeight="1">
      <c r="A138" s="51" t="s">
        <v>2436</v>
      </c>
      <c r="B138" s="51" t="s">
        <v>4516</v>
      </c>
      <c r="C138" s="51" t="s">
        <v>4516</v>
      </c>
      <c r="D138" s="51" t="s">
        <v>1825</v>
      </c>
      <c r="E138" s="51" t="s">
        <v>1355</v>
      </c>
      <c r="F138" s="237" t="s">
        <v>3324</v>
      </c>
      <c r="H138" s="51" t="s">
        <v>3383</v>
      </c>
      <c r="I138" s="51" t="s">
        <v>3384</v>
      </c>
      <c r="J138" s="51" t="str">
        <f t="shared" si="2"/>
        <v>GoldOJSC Novosibirsk Refinery</v>
      </c>
    </row>
    <row r="139" spans="1:10" ht="10.5" customHeight="1">
      <c r="A139" s="51" t="s">
        <v>2436</v>
      </c>
      <c r="B139" s="51" t="s">
        <v>2695</v>
      </c>
      <c r="C139" s="51" t="s">
        <v>4520</v>
      </c>
      <c r="D139" s="51" t="s">
        <v>1867</v>
      </c>
      <c r="E139" s="51" t="s">
        <v>1398</v>
      </c>
      <c r="F139" s="237" t="s">
        <v>3324</v>
      </c>
      <c r="H139" s="51" t="s">
        <v>3463</v>
      </c>
      <c r="I139" s="51" t="s">
        <v>3464</v>
      </c>
      <c r="J139" s="51" t="str">
        <f t="shared" si="2"/>
        <v>GoldOPM</v>
      </c>
    </row>
    <row r="140" spans="1:10" ht="10.5" customHeight="1">
      <c r="A140" s="51" t="s">
        <v>2436</v>
      </c>
      <c r="B140" s="51" t="s">
        <v>1903</v>
      </c>
      <c r="C140" s="51" t="s">
        <v>1903</v>
      </c>
      <c r="D140" s="51" t="s">
        <v>2292</v>
      </c>
      <c r="E140" s="51" t="s">
        <v>1402</v>
      </c>
      <c r="F140" s="237" t="s">
        <v>3324</v>
      </c>
      <c r="H140" s="51" t="s">
        <v>3472</v>
      </c>
      <c r="I140" s="51" t="s">
        <v>3339</v>
      </c>
      <c r="J140" s="51" t="str">
        <f t="shared" si="2"/>
        <v>GoldPAMP SA</v>
      </c>
    </row>
    <row r="141" spans="1:10" ht="10.5" customHeight="1">
      <c r="A141" s="51" t="s">
        <v>2436</v>
      </c>
      <c r="B141" s="51" t="s">
        <v>4552</v>
      </c>
      <c r="C141" s="51" t="s">
        <v>88</v>
      </c>
      <c r="D141" s="51" t="s">
        <v>2362</v>
      </c>
      <c r="E141" s="51" t="s">
        <v>1373</v>
      </c>
      <c r="F141" s="237" t="s">
        <v>3324</v>
      </c>
      <c r="H141" s="51" t="s">
        <v>3417</v>
      </c>
      <c r="I141" s="51" t="s">
        <v>3417</v>
      </c>
      <c r="J141" s="51" t="str">
        <f t="shared" si="2"/>
        <v>GoldPan Pacific Copper Co Ltd.</v>
      </c>
    </row>
    <row r="142" spans="1:10" ht="10.5" customHeight="1">
      <c r="A142" s="51" t="s">
        <v>2436</v>
      </c>
      <c r="B142" s="51" t="s">
        <v>4416</v>
      </c>
      <c r="C142" s="51" t="s">
        <v>4416</v>
      </c>
      <c r="D142" s="51" t="s">
        <v>2294</v>
      </c>
      <c r="E142" s="51" t="s">
        <v>1403</v>
      </c>
      <c r="F142" s="237" t="s">
        <v>3324</v>
      </c>
      <c r="H142" s="51" t="s">
        <v>3473</v>
      </c>
      <c r="I142" s="51" t="s">
        <v>3474</v>
      </c>
      <c r="J142" s="51" t="str">
        <f t="shared" si="2"/>
        <v>GoldPenglai Penggang Gold Industry Co., Ltd.</v>
      </c>
    </row>
    <row r="143" spans="1:10" ht="10.5" customHeight="1">
      <c r="A143" s="51" t="s">
        <v>2436</v>
      </c>
      <c r="B143" s="51" t="s">
        <v>4553</v>
      </c>
      <c r="C143" s="51" t="s">
        <v>2435</v>
      </c>
      <c r="D143" s="51" t="s">
        <v>2267</v>
      </c>
      <c r="E143" s="51" t="s">
        <v>1429</v>
      </c>
      <c r="F143" s="237" t="s">
        <v>3324</v>
      </c>
      <c r="H143" s="51" t="s">
        <v>3528</v>
      </c>
      <c r="I143" s="51" t="s">
        <v>3529</v>
      </c>
      <c r="J143" s="51" t="str">
        <f t="shared" si="2"/>
        <v>GoldPerth Mint</v>
      </c>
    </row>
    <row r="144" spans="1:10" ht="10.5" customHeight="1">
      <c r="A144" s="51" t="s">
        <v>2436</v>
      </c>
      <c r="B144" s="51" t="s">
        <v>3533</v>
      </c>
      <c r="C144" s="51" t="s">
        <v>2435</v>
      </c>
      <c r="D144" s="51" t="s">
        <v>2267</v>
      </c>
      <c r="E144" s="51" t="s">
        <v>1429</v>
      </c>
      <c r="F144" s="237" t="s">
        <v>3324</v>
      </c>
      <c r="H144" s="51" t="s">
        <v>3528</v>
      </c>
      <c r="I144" s="51" t="s">
        <v>3529</v>
      </c>
      <c r="J144" s="51" t="str">
        <f t="shared" si="2"/>
        <v>GoldPerth Mint (ANZ)</v>
      </c>
    </row>
    <row r="145" spans="1:10" ht="10.5" customHeight="1">
      <c r="A145" s="51" t="s">
        <v>2436</v>
      </c>
      <c r="B145" s="51" t="s">
        <v>1904</v>
      </c>
      <c r="C145" s="51" t="s">
        <v>1904</v>
      </c>
      <c r="D145" s="51" t="s">
        <v>1825</v>
      </c>
      <c r="E145" s="51" t="s">
        <v>1404</v>
      </c>
      <c r="F145" s="237" t="s">
        <v>3324</v>
      </c>
      <c r="H145" s="51" t="s">
        <v>3475</v>
      </c>
      <c r="I145" s="51" t="s">
        <v>3476</v>
      </c>
      <c r="J145" s="51" t="str">
        <f t="shared" si="2"/>
        <v>GoldPrioksky Plant of Non-Ferrous Metals</v>
      </c>
    </row>
    <row r="146" spans="1:10" ht="10.5" customHeight="1">
      <c r="A146" s="51" t="s">
        <v>2436</v>
      </c>
      <c r="B146" s="51" t="s">
        <v>4554</v>
      </c>
      <c r="C146" s="51" t="s">
        <v>1903</v>
      </c>
      <c r="D146" s="51" t="s">
        <v>2292</v>
      </c>
      <c r="E146" s="51" t="s">
        <v>1402</v>
      </c>
      <c r="F146" s="237" t="s">
        <v>3324</v>
      </c>
      <c r="H146" s="51" t="s">
        <v>3472</v>
      </c>
      <c r="I146" s="51" t="s">
        <v>3339</v>
      </c>
      <c r="J146" s="51" t="str">
        <f t="shared" si="2"/>
        <v>GoldProduits Artistiques de Métaux</v>
      </c>
    </row>
    <row r="147" spans="1:10" ht="10.5" customHeight="1">
      <c r="A147" s="51" t="s">
        <v>2436</v>
      </c>
      <c r="B147" s="51" t="s">
        <v>2573</v>
      </c>
      <c r="C147" s="51" t="s">
        <v>2573</v>
      </c>
      <c r="D147" s="51" t="s">
        <v>2351</v>
      </c>
      <c r="E147" s="51" t="s">
        <v>1405</v>
      </c>
      <c r="F147" s="237" t="s">
        <v>3324</v>
      </c>
      <c r="H147" s="51" t="s">
        <v>3477</v>
      </c>
      <c r="I147" s="51" t="s">
        <v>3478</v>
      </c>
      <c r="J147" s="51" t="str">
        <f t="shared" si="2"/>
        <v>GoldPT Aneka Tambang (Persero) Tbk</v>
      </c>
    </row>
    <row r="148" spans="1:10" ht="10.5" customHeight="1">
      <c r="A148" s="51" t="s">
        <v>2436</v>
      </c>
      <c r="B148" s="51" t="s">
        <v>2579</v>
      </c>
      <c r="C148" s="51" t="s">
        <v>2579</v>
      </c>
      <c r="D148" s="51" t="s">
        <v>2292</v>
      </c>
      <c r="E148" s="51" t="s">
        <v>1406</v>
      </c>
      <c r="F148" s="237" t="s">
        <v>3324</v>
      </c>
      <c r="H148" s="51" t="s">
        <v>3479</v>
      </c>
      <c r="I148" s="51" t="s">
        <v>3447</v>
      </c>
      <c r="J148" s="51" t="str">
        <f t="shared" si="2"/>
        <v>GoldPX Précinox SA</v>
      </c>
    </row>
    <row r="149" spans="1:10" ht="10.5" customHeight="1">
      <c r="A149" s="51" t="s">
        <v>2436</v>
      </c>
      <c r="B149" s="51" t="s">
        <v>4419</v>
      </c>
      <c r="C149" s="51" t="s">
        <v>4419</v>
      </c>
      <c r="D149" s="51" t="s">
        <v>1880</v>
      </c>
      <c r="E149" s="51" t="s">
        <v>1407</v>
      </c>
      <c r="F149" s="237" t="s">
        <v>3324</v>
      </c>
      <c r="H149" s="51" t="s">
        <v>3480</v>
      </c>
      <c r="I149" s="51" t="s">
        <v>3481</v>
      </c>
      <c r="J149" s="51" t="str">
        <f t="shared" si="2"/>
        <v>GoldRand Refinery (Pty) Ltd.</v>
      </c>
    </row>
    <row r="150" spans="1:10" ht="10.5" customHeight="1">
      <c r="A150" s="51" t="s">
        <v>2436</v>
      </c>
      <c r="B150" s="51" t="s">
        <v>51</v>
      </c>
      <c r="C150" s="51" t="s">
        <v>89</v>
      </c>
      <c r="D150" s="51" t="s">
        <v>2369</v>
      </c>
      <c r="E150" s="51" t="s">
        <v>1382</v>
      </c>
      <c r="F150" s="237" t="s">
        <v>3324</v>
      </c>
      <c r="H150" s="51" t="s">
        <v>3432</v>
      </c>
      <c r="I150" s="51" t="s">
        <v>3433</v>
      </c>
      <c r="J150" s="51" t="str">
        <f t="shared" si="2"/>
        <v>GoldRefinery LS-Nikko Copper Inc.</v>
      </c>
    </row>
    <row r="151" spans="1:10" ht="10.5" customHeight="1">
      <c r="A151" s="51" t="s">
        <v>2436</v>
      </c>
      <c r="B151" s="51" t="s">
        <v>2830</v>
      </c>
      <c r="C151" s="51" t="s">
        <v>2830</v>
      </c>
      <c r="D151" s="51" t="s">
        <v>1867</v>
      </c>
      <c r="E151" s="51" t="s">
        <v>2831</v>
      </c>
      <c r="F151" s="237" t="s">
        <v>3324</v>
      </c>
      <c r="H151" s="51" t="s">
        <v>3558</v>
      </c>
      <c r="I151" s="51" t="s">
        <v>3559</v>
      </c>
      <c r="J151" s="51" t="str">
        <f t="shared" si="2"/>
        <v>GoldRepublic Metals Corporation</v>
      </c>
    </row>
    <row r="152" spans="1:10" ht="10.5" customHeight="1">
      <c r="A152" s="51" t="s">
        <v>2436</v>
      </c>
      <c r="B152" s="51" t="s">
        <v>1905</v>
      </c>
      <c r="C152" s="51" t="s">
        <v>1905</v>
      </c>
      <c r="D152" s="51" t="s">
        <v>2290</v>
      </c>
      <c r="E152" s="51" t="s">
        <v>1408</v>
      </c>
      <c r="F152" s="237" t="s">
        <v>3324</v>
      </c>
      <c r="H152" s="51" t="s">
        <v>3482</v>
      </c>
      <c r="I152" s="51" t="s">
        <v>3414</v>
      </c>
      <c r="J152" s="51" t="str">
        <f t="shared" si="2"/>
        <v>GoldRoyal Canadian Mint</v>
      </c>
    </row>
    <row r="153" spans="1:10" ht="10.5" customHeight="1">
      <c r="A153" s="51" t="s">
        <v>2436</v>
      </c>
      <c r="B153" s="51" t="s">
        <v>2485</v>
      </c>
      <c r="C153" s="51" t="s">
        <v>2485</v>
      </c>
      <c r="D153" s="51" t="s">
        <v>1867</v>
      </c>
      <c r="E153" s="51" t="s">
        <v>1409</v>
      </c>
      <c r="F153" s="237" t="s">
        <v>3324</v>
      </c>
      <c r="H153" s="51" t="s">
        <v>3483</v>
      </c>
      <c r="I153" s="51" t="s">
        <v>3484</v>
      </c>
      <c r="J153" s="51" t="str">
        <f t="shared" si="2"/>
        <v>GoldSabin Metal Corp.</v>
      </c>
    </row>
    <row r="154" spans="1:10" ht="10.5" customHeight="1">
      <c r="A154" s="51" t="s">
        <v>2436</v>
      </c>
      <c r="B154" s="51" t="s">
        <v>3485</v>
      </c>
      <c r="C154" s="51" t="s">
        <v>2870</v>
      </c>
      <c r="D154" s="51" t="s">
        <v>2369</v>
      </c>
      <c r="E154" s="51" t="s">
        <v>2871</v>
      </c>
      <c r="F154" s="237" t="s">
        <v>3324</v>
      </c>
      <c r="H154" s="51" t="s">
        <v>3369</v>
      </c>
      <c r="I154" s="51" t="s">
        <v>3370</v>
      </c>
      <c r="J154" s="51" t="str">
        <f t="shared" si="2"/>
        <v>GoldSamdok Metal</v>
      </c>
    </row>
    <row r="155" spans="1:10" ht="10.5" customHeight="1">
      <c r="A155" s="51" t="s">
        <v>2436</v>
      </c>
      <c r="B155" s="51" t="s">
        <v>2870</v>
      </c>
      <c r="C155" s="51" t="s">
        <v>2870</v>
      </c>
      <c r="D155" s="51" t="s">
        <v>2369</v>
      </c>
      <c r="E155" s="51" t="s">
        <v>2871</v>
      </c>
      <c r="F155" s="237" t="s">
        <v>3324</v>
      </c>
      <c r="H155" s="51" t="s">
        <v>3369</v>
      </c>
      <c r="I155" s="51" t="s">
        <v>3370</v>
      </c>
      <c r="J155" s="51" t="str">
        <f t="shared" si="2"/>
        <v>GoldSamduck Precious Metals</v>
      </c>
    </row>
    <row r="156" spans="1:10" ht="10.5" customHeight="1">
      <c r="A156" s="51" t="s">
        <v>2436</v>
      </c>
      <c r="B156" s="51" t="s">
        <v>4421</v>
      </c>
      <c r="C156" s="51" t="s">
        <v>4421</v>
      </c>
      <c r="D156" s="51" t="s">
        <v>2369</v>
      </c>
      <c r="E156" s="51" t="s">
        <v>1410</v>
      </c>
      <c r="F156" s="237" t="s">
        <v>3324</v>
      </c>
      <c r="H156" s="51" t="s">
        <v>3487</v>
      </c>
      <c r="I156" s="51" t="s">
        <v>3488</v>
      </c>
      <c r="J156" s="51" t="str">
        <f t="shared" si="2"/>
        <v>GoldSAMWON Metals Corp.</v>
      </c>
    </row>
    <row r="157" spans="1:10" ht="10.5" customHeight="1">
      <c r="A157" s="51" t="s">
        <v>2436</v>
      </c>
      <c r="B157" s="51" t="s">
        <v>4523</v>
      </c>
      <c r="C157" s="51" t="s">
        <v>4523</v>
      </c>
      <c r="D157" s="51" t="s">
        <v>2308</v>
      </c>
      <c r="E157" s="51" t="s">
        <v>4526</v>
      </c>
      <c r="F157" s="237" t="s">
        <v>3324</v>
      </c>
      <c r="H157" s="51" t="s">
        <v>3679</v>
      </c>
      <c r="I157" s="51" t="s">
        <v>3680</v>
      </c>
      <c r="J157" s="51" t="str">
        <f t="shared" si="2"/>
        <v>GoldSAXONIA Edelmetalle GmbH</v>
      </c>
    </row>
    <row r="158" spans="1:10" ht="10.5" customHeight="1">
      <c r="A158" s="51" t="s">
        <v>2436</v>
      </c>
      <c r="B158" s="51" t="s">
        <v>4539</v>
      </c>
      <c r="C158" s="51" t="s">
        <v>4539</v>
      </c>
      <c r="D158" s="51" t="s">
        <v>2411</v>
      </c>
      <c r="E158" s="51" t="s">
        <v>1411</v>
      </c>
      <c r="F158" s="237" t="s">
        <v>3324</v>
      </c>
      <c r="H158" s="51" t="s">
        <v>3489</v>
      </c>
      <c r="I158" s="51" t="s">
        <v>3490</v>
      </c>
      <c r="J158" s="51" t="str">
        <f t="shared" si="2"/>
        <v>GoldSchone Edelmetaal B.V.</v>
      </c>
    </row>
    <row r="159" spans="1:10" ht="10.5" customHeight="1">
      <c r="A159" s="51" t="s">
        <v>2436</v>
      </c>
      <c r="B159" s="51" t="s">
        <v>3486</v>
      </c>
      <c r="C159" s="51" t="s">
        <v>2870</v>
      </c>
      <c r="D159" s="51" t="s">
        <v>2369</v>
      </c>
      <c r="E159" s="51" t="s">
        <v>2871</v>
      </c>
      <c r="F159" s="237" t="s">
        <v>3324</v>
      </c>
      <c r="H159" s="51" t="s">
        <v>3369</v>
      </c>
      <c r="I159" s="51" t="s">
        <v>3370</v>
      </c>
      <c r="J159" s="51" t="str">
        <f t="shared" si="2"/>
        <v>GoldSD (Samdok) Metal</v>
      </c>
    </row>
    <row r="160" spans="1:10" ht="10.5" customHeight="1">
      <c r="A160" s="51" t="s">
        <v>2436</v>
      </c>
      <c r="B160" s="51" t="s">
        <v>92</v>
      </c>
      <c r="C160" s="51" t="s">
        <v>92</v>
      </c>
      <c r="D160" s="51" t="s">
        <v>2318</v>
      </c>
      <c r="E160" s="51" t="s">
        <v>1412</v>
      </c>
      <c r="F160" s="237" t="s">
        <v>3324</v>
      </c>
      <c r="H160" s="51" t="s">
        <v>3491</v>
      </c>
      <c r="I160" s="51" t="s">
        <v>3492</v>
      </c>
      <c r="J160" s="51" t="str">
        <f t="shared" si="2"/>
        <v>GoldSEMPSA Joyería Platería SA</v>
      </c>
    </row>
    <row r="161" spans="1:10" ht="10.5" customHeight="1">
      <c r="A161" s="51" t="s">
        <v>2436</v>
      </c>
      <c r="B161" s="51" t="s">
        <v>3493</v>
      </c>
      <c r="C161" s="51" t="s">
        <v>92</v>
      </c>
      <c r="D161" s="51" t="s">
        <v>2318</v>
      </c>
      <c r="E161" s="51" t="s">
        <v>1412</v>
      </c>
      <c r="F161" s="237" t="s">
        <v>3324</v>
      </c>
      <c r="H161" s="51" t="s">
        <v>3491</v>
      </c>
      <c r="I161" s="51" t="s">
        <v>3492</v>
      </c>
      <c r="J161" s="51" t="str">
        <f t="shared" si="2"/>
        <v>GoldSempsa JP (Cookson Sempsa)</v>
      </c>
    </row>
    <row r="162" spans="1:10" ht="10.5" customHeight="1">
      <c r="A162" s="51" t="s">
        <v>2436</v>
      </c>
      <c r="B162" s="51" t="s">
        <v>3514</v>
      </c>
      <c r="C162" s="51" t="s">
        <v>4425</v>
      </c>
      <c r="D162" s="51" t="s">
        <v>2294</v>
      </c>
      <c r="E162" s="51" t="s">
        <v>1421</v>
      </c>
      <c r="F162" s="237" t="s">
        <v>3324</v>
      </c>
      <c r="H162" s="51" t="s">
        <v>3496</v>
      </c>
      <c r="I162" s="51" t="s">
        <v>3473</v>
      </c>
      <c r="J162" s="51" t="str">
        <f t="shared" si="2"/>
        <v>GoldShandong Gold Mine(Laizhou) Smelter Co., Ltd.</v>
      </c>
    </row>
    <row r="163" spans="1:10" ht="10.5" customHeight="1">
      <c r="A163" s="51" t="s">
        <v>2436</v>
      </c>
      <c r="B163" s="51" t="s">
        <v>3497</v>
      </c>
      <c r="C163" s="51" t="s">
        <v>3494</v>
      </c>
      <c r="D163" s="51" t="s">
        <v>2294</v>
      </c>
      <c r="E163" s="51" t="s">
        <v>3495</v>
      </c>
      <c r="F163" s="237" t="s">
        <v>3324</v>
      </c>
      <c r="H163" s="51" t="s">
        <v>3496</v>
      </c>
      <c r="I163" s="51" t="s">
        <v>3473</v>
      </c>
      <c r="J163" s="51" t="str">
        <f t="shared" si="2"/>
        <v>GoldShandong Tarzan Bio-Gold Industry Co., Ltd.</v>
      </c>
    </row>
    <row r="164" spans="1:10" ht="10.5" customHeight="1">
      <c r="A164" s="51" t="s">
        <v>2436</v>
      </c>
      <c r="B164" s="51" t="s">
        <v>3494</v>
      </c>
      <c r="C164" s="51" t="s">
        <v>3494</v>
      </c>
      <c r="D164" s="51" t="s">
        <v>2294</v>
      </c>
      <c r="E164" s="51" t="s">
        <v>3495</v>
      </c>
      <c r="F164" s="237" t="s">
        <v>3324</v>
      </c>
      <c r="H164" s="51" t="s">
        <v>3496</v>
      </c>
      <c r="I164" s="51" t="s">
        <v>3473</v>
      </c>
      <c r="J164" s="51" t="str">
        <f t="shared" si="2"/>
        <v>GoldShandong Tiancheng Biological Gold Industrial Co., Ltd.</v>
      </c>
    </row>
    <row r="165" spans="1:10" ht="10.5" customHeight="1">
      <c r="A165" s="51" t="s">
        <v>2436</v>
      </c>
      <c r="B165" s="51" t="s">
        <v>4422</v>
      </c>
      <c r="C165" s="51" t="s">
        <v>4422</v>
      </c>
      <c r="D165" s="51" t="s">
        <v>2294</v>
      </c>
      <c r="E165" s="51" t="s">
        <v>1413</v>
      </c>
      <c r="F165" s="237" t="s">
        <v>3324</v>
      </c>
      <c r="H165" s="51" t="s">
        <v>3389</v>
      </c>
      <c r="I165" s="51" t="s">
        <v>3474</v>
      </c>
      <c r="J165" s="51" t="str">
        <f t="shared" si="2"/>
        <v>GoldShandong Zhaojin Gold &amp; Silver Refinery Co., Ltd.</v>
      </c>
    </row>
    <row r="166" spans="1:10" ht="10.5" customHeight="1">
      <c r="A166" s="51" t="s">
        <v>2436</v>
      </c>
      <c r="B166" s="51" t="s">
        <v>3498</v>
      </c>
      <c r="C166" s="51" t="s">
        <v>4425</v>
      </c>
      <c r="D166" s="51" t="s">
        <v>2294</v>
      </c>
      <c r="E166" s="51" t="s">
        <v>1421</v>
      </c>
      <c r="F166" s="237" t="s">
        <v>3324</v>
      </c>
      <c r="H166" s="51" t="s">
        <v>3496</v>
      </c>
      <c r="I166" s="51" t="s">
        <v>3473</v>
      </c>
      <c r="J166" s="51" t="str">
        <f t="shared" si="2"/>
        <v>GoldShangdong Gold (Laizhou)</v>
      </c>
    </row>
    <row r="167" spans="1:10" ht="10.5" customHeight="1">
      <c r="A167" s="51" t="s">
        <v>2436</v>
      </c>
      <c r="B167" s="51" t="s">
        <v>52</v>
      </c>
      <c r="C167" s="51" t="s">
        <v>2574</v>
      </c>
      <c r="D167" s="51" t="s">
        <v>2362</v>
      </c>
      <c r="E167" s="51" t="s">
        <v>1419</v>
      </c>
      <c r="F167" s="237" t="s">
        <v>3324</v>
      </c>
      <c r="H167" s="51" t="s">
        <v>3509</v>
      </c>
      <c r="I167" s="51" t="s">
        <v>3510</v>
      </c>
      <c r="J167" s="51" t="str">
        <f t="shared" si="2"/>
        <v>GoldShonan Plant Tanaka Kikinzoku</v>
      </c>
    </row>
    <row r="168" spans="1:10" ht="10.5" customHeight="1">
      <c r="A168" s="51" t="s">
        <v>2436</v>
      </c>
      <c r="B168" s="51" t="s">
        <v>4423</v>
      </c>
      <c r="C168" s="51" t="s">
        <v>4423</v>
      </c>
      <c r="D168" s="51" t="s">
        <v>2294</v>
      </c>
      <c r="E168" s="51" t="s">
        <v>2832</v>
      </c>
      <c r="F168" s="237" t="s">
        <v>3324</v>
      </c>
      <c r="H168" s="51" t="s">
        <v>3500</v>
      </c>
      <c r="I168" s="51" t="s">
        <v>3501</v>
      </c>
      <c r="J168" s="51" t="str">
        <f t="shared" si="2"/>
        <v>GoldSichuan Tianze Precious Metals Co., Ltd.</v>
      </c>
    </row>
    <row r="169" spans="1:10" ht="10.5" customHeight="1">
      <c r="A169" s="51" t="s">
        <v>2436</v>
      </c>
      <c r="B169" s="51" t="s">
        <v>53</v>
      </c>
      <c r="C169" s="51" t="s">
        <v>2574</v>
      </c>
      <c r="D169" s="51" t="s">
        <v>2362</v>
      </c>
      <c r="E169" s="51" t="s">
        <v>1419</v>
      </c>
      <c r="F169" s="237" t="s">
        <v>3324</v>
      </c>
      <c r="H169" s="51" t="s">
        <v>3509</v>
      </c>
      <c r="I169" s="51" t="s">
        <v>3510</v>
      </c>
      <c r="J169" s="51" t="str">
        <f t="shared" si="2"/>
        <v>GoldSingapore Tanaka</v>
      </c>
    </row>
    <row r="170" spans="1:10" ht="10.5" customHeight="1">
      <c r="A170" s="51" t="s">
        <v>2436</v>
      </c>
      <c r="B170" s="51" t="s">
        <v>2833</v>
      </c>
      <c r="C170" s="51" t="s">
        <v>2833</v>
      </c>
      <c r="D170" s="51" t="s">
        <v>1861</v>
      </c>
      <c r="E170" s="51" t="s">
        <v>2834</v>
      </c>
      <c r="F170" s="237" t="s">
        <v>3324</v>
      </c>
      <c r="H170" s="51" t="s">
        <v>3564</v>
      </c>
      <c r="I170" s="51" t="s">
        <v>3565</v>
      </c>
      <c r="J170" s="51" t="str">
        <f t="shared" si="2"/>
        <v>GoldSingway Technology Co., Ltd.</v>
      </c>
    </row>
    <row r="171" spans="1:10" ht="10.5" customHeight="1">
      <c r="A171" s="51" t="s">
        <v>2436</v>
      </c>
      <c r="B171" s="51" t="s">
        <v>2045</v>
      </c>
      <c r="C171" s="51" t="s">
        <v>93</v>
      </c>
      <c r="D171" s="51" t="s">
        <v>2362</v>
      </c>
      <c r="E171" s="51" t="s">
        <v>1418</v>
      </c>
      <c r="F171" s="237" t="s">
        <v>3324</v>
      </c>
      <c r="H171" s="51" t="s">
        <v>3507</v>
      </c>
      <c r="I171" s="51" t="s">
        <v>4538</v>
      </c>
      <c r="J171" s="51" t="str">
        <f t="shared" si="2"/>
        <v>GoldSMM</v>
      </c>
    </row>
    <row r="172" spans="1:10" ht="10.5" customHeight="1">
      <c r="A172" s="51" t="s">
        <v>2436</v>
      </c>
      <c r="B172" s="51" t="s">
        <v>1414</v>
      </c>
      <c r="C172" s="51" t="s">
        <v>1414</v>
      </c>
      <c r="D172" s="51" t="s">
        <v>1867</v>
      </c>
      <c r="E172" s="51" t="s">
        <v>1415</v>
      </c>
      <c r="F172" s="237" t="s">
        <v>3324</v>
      </c>
      <c r="H172" s="51" t="s">
        <v>3502</v>
      </c>
      <c r="I172" s="51" t="s">
        <v>3437</v>
      </c>
      <c r="J172" s="51" t="str">
        <f t="shared" si="2"/>
        <v>GoldSo Accurate Group, Inc.</v>
      </c>
    </row>
    <row r="173" spans="1:10" ht="10.5" customHeight="1">
      <c r="A173" s="51" t="s">
        <v>2436</v>
      </c>
      <c r="B173" s="51" t="s">
        <v>1906</v>
      </c>
      <c r="C173" s="51" t="s">
        <v>1906</v>
      </c>
      <c r="D173" s="51" t="s">
        <v>1825</v>
      </c>
      <c r="E173" s="51" t="s">
        <v>1416</v>
      </c>
      <c r="F173" s="237" t="s">
        <v>3324</v>
      </c>
      <c r="H173" s="51" t="s">
        <v>3503</v>
      </c>
      <c r="I173" s="51" t="s">
        <v>3504</v>
      </c>
      <c r="J173" s="51" t="str">
        <f t="shared" si="2"/>
        <v>GoldSOE Shyolkovsky Factory of Secondary Precious Metals</v>
      </c>
    </row>
    <row r="174" spans="1:10" ht="10.5" customHeight="1">
      <c r="A174" s="51" t="s">
        <v>2436</v>
      </c>
      <c r="B174" s="51" t="s">
        <v>1907</v>
      </c>
      <c r="C174" s="51" t="s">
        <v>1907</v>
      </c>
      <c r="D174" s="51" t="s">
        <v>1861</v>
      </c>
      <c r="E174" s="51" t="s">
        <v>1417</v>
      </c>
      <c r="F174" s="237" t="s">
        <v>3324</v>
      </c>
      <c r="H174" s="51" t="s">
        <v>3505</v>
      </c>
      <c r="I174" s="51" t="s">
        <v>3506</v>
      </c>
      <c r="J174" s="51" t="str">
        <f t="shared" si="2"/>
        <v>GoldSolar Applied Materials Technology Corp.</v>
      </c>
    </row>
    <row r="175" spans="1:10" ht="10.5" customHeight="1">
      <c r="A175" s="51" t="s">
        <v>2436</v>
      </c>
      <c r="B175" s="51" t="s">
        <v>54</v>
      </c>
      <c r="C175" s="51" t="s">
        <v>1907</v>
      </c>
      <c r="D175" s="51" t="s">
        <v>1861</v>
      </c>
      <c r="E175" s="51" t="s">
        <v>1417</v>
      </c>
      <c r="F175" s="237" t="s">
        <v>3324</v>
      </c>
      <c r="H175" s="51" t="s">
        <v>3505</v>
      </c>
      <c r="I175" s="51" t="s">
        <v>3506</v>
      </c>
      <c r="J175" s="51" t="str">
        <f t="shared" si="2"/>
        <v>GoldSOLAR CHEMICALAPPLIED MATERIALS TECHNOLOGY (KUN SHAN)</v>
      </c>
    </row>
    <row r="176" spans="1:10" ht="10.5" customHeight="1">
      <c r="A176" s="51" t="s">
        <v>2436</v>
      </c>
      <c r="B176" s="51" t="s">
        <v>55</v>
      </c>
      <c r="C176" s="51" t="s">
        <v>1907</v>
      </c>
      <c r="D176" s="51" t="s">
        <v>1861</v>
      </c>
      <c r="E176" s="51" t="s">
        <v>1417</v>
      </c>
      <c r="F176" s="237" t="s">
        <v>3324</v>
      </c>
      <c r="H176" s="51" t="s">
        <v>3505</v>
      </c>
      <c r="I176" s="51" t="s">
        <v>3506</v>
      </c>
      <c r="J176" s="51" t="str">
        <f t="shared" si="2"/>
        <v>GoldSolartech</v>
      </c>
    </row>
    <row r="177" spans="1:10" ht="10.5" customHeight="1">
      <c r="A177" s="51" t="s">
        <v>2436</v>
      </c>
      <c r="B177" s="51" t="s">
        <v>3573</v>
      </c>
      <c r="C177" s="51" t="s">
        <v>3573</v>
      </c>
      <c r="D177" s="51" t="s">
        <v>1828</v>
      </c>
      <c r="E177" s="51" t="s">
        <v>3574</v>
      </c>
      <c r="F177" s="237" t="s">
        <v>3324</v>
      </c>
      <c r="H177" s="51" t="s">
        <v>3575</v>
      </c>
      <c r="I177" s="51" t="s">
        <v>3576</v>
      </c>
      <c r="J177" s="51" t="str">
        <f t="shared" si="2"/>
        <v>GoldSudan Gold Refinery</v>
      </c>
    </row>
    <row r="178" spans="1:10" ht="10.5" customHeight="1">
      <c r="A178" s="51" t="s">
        <v>2436</v>
      </c>
      <c r="B178" s="51" t="s">
        <v>4555</v>
      </c>
      <c r="C178" s="51" t="s">
        <v>93</v>
      </c>
      <c r="D178" s="51" t="s">
        <v>2362</v>
      </c>
      <c r="E178" s="51" t="s">
        <v>1418</v>
      </c>
      <c r="F178" s="237" t="s">
        <v>3324</v>
      </c>
      <c r="H178" s="51" t="s">
        <v>3507</v>
      </c>
      <c r="I178" s="51" t="s">
        <v>4538</v>
      </c>
      <c r="J178" s="51" t="str">
        <f t="shared" si="2"/>
        <v>GoldSumitomo Kinzoku Kozan K.K.</v>
      </c>
    </row>
    <row r="179" spans="1:10" ht="10.5" customHeight="1">
      <c r="A179" s="51" t="s">
        <v>2436</v>
      </c>
      <c r="B179" s="51" t="s">
        <v>93</v>
      </c>
      <c r="C179" s="51" t="s">
        <v>93</v>
      </c>
      <c r="D179" s="51" t="s">
        <v>2362</v>
      </c>
      <c r="E179" s="51" t="s">
        <v>1418</v>
      </c>
      <c r="F179" s="237" t="s">
        <v>3324</v>
      </c>
      <c r="H179" s="51" t="s">
        <v>3507</v>
      </c>
      <c r="I179" s="51" t="s">
        <v>4538</v>
      </c>
      <c r="J179" s="51" t="str">
        <f t="shared" si="2"/>
        <v>GoldSumitomo Metal Mining Co., Ltd.</v>
      </c>
    </row>
    <row r="180" spans="1:10" ht="10.5" customHeight="1">
      <c r="A180" s="51" t="s">
        <v>2436</v>
      </c>
      <c r="B180" s="51" t="s">
        <v>4545</v>
      </c>
      <c r="C180" s="51" t="s">
        <v>4545</v>
      </c>
      <c r="D180" s="51" t="s">
        <v>2359</v>
      </c>
      <c r="E180" s="51" t="s">
        <v>3577</v>
      </c>
      <c r="F180" s="237" t="s">
        <v>3324</v>
      </c>
      <c r="H180" s="51" t="s">
        <v>3578</v>
      </c>
      <c r="I180" s="51" t="s">
        <v>3367</v>
      </c>
      <c r="J180" s="51" t="str">
        <f t="shared" si="2"/>
        <v>GoldT.C.A S.p.A</v>
      </c>
    </row>
    <row r="181" spans="1:10" ht="10.5" customHeight="1">
      <c r="A181" s="51" t="s">
        <v>2436</v>
      </c>
      <c r="B181" s="51" t="s">
        <v>4556</v>
      </c>
      <c r="C181" s="51" t="s">
        <v>2574</v>
      </c>
      <c r="D181" s="51" t="s">
        <v>2362</v>
      </c>
      <c r="E181" s="51" t="s">
        <v>1419</v>
      </c>
      <c r="F181" s="237" t="s">
        <v>3324</v>
      </c>
      <c r="H181" s="51" t="s">
        <v>3509</v>
      </c>
      <c r="I181" s="51" t="s">
        <v>3510</v>
      </c>
      <c r="J181" s="51" t="str">
        <f t="shared" si="2"/>
        <v>GoldTanaka kikinzoku kogyo K.k</v>
      </c>
    </row>
    <row r="182" spans="1:10" ht="10.5" customHeight="1">
      <c r="A182" s="51" t="s">
        <v>2436</v>
      </c>
      <c r="B182" s="51" t="s">
        <v>4557</v>
      </c>
      <c r="C182" s="51" t="s">
        <v>2574</v>
      </c>
      <c r="D182" s="51" t="s">
        <v>2362</v>
      </c>
      <c r="E182" s="51" t="s">
        <v>1419</v>
      </c>
      <c r="F182" s="237" t="s">
        <v>3324</v>
      </c>
      <c r="H182" s="51" t="s">
        <v>3509</v>
      </c>
      <c r="I182" s="51" t="s">
        <v>3510</v>
      </c>
      <c r="J182" s="51" t="str">
        <f t="shared" si="2"/>
        <v>GoldTanaka Denshi Kogyo K.K</v>
      </c>
    </row>
    <row r="183" spans="1:10" ht="10.5" customHeight="1">
      <c r="A183" s="51" t="s">
        <v>2436</v>
      </c>
      <c r="B183" s="51" t="s">
        <v>56</v>
      </c>
      <c r="C183" s="51" t="s">
        <v>2574</v>
      </c>
      <c r="D183" s="51" t="s">
        <v>2362</v>
      </c>
      <c r="E183" s="51" t="s">
        <v>1419</v>
      </c>
      <c r="F183" s="237" t="s">
        <v>3324</v>
      </c>
      <c r="H183" s="51" t="s">
        <v>3509</v>
      </c>
      <c r="I183" s="51" t="s">
        <v>3510</v>
      </c>
      <c r="J183" s="51" t="str">
        <f t="shared" si="2"/>
        <v>GoldTanaka Electronics(Hong Kong)Pte.Ltd</v>
      </c>
    </row>
    <row r="184" spans="1:10" ht="10.5" customHeight="1">
      <c r="A184" s="51" t="s">
        <v>2436</v>
      </c>
      <c r="B184" s="51" t="s">
        <v>57</v>
      </c>
      <c r="C184" s="51" t="s">
        <v>2574</v>
      </c>
      <c r="D184" s="51" t="s">
        <v>2362</v>
      </c>
      <c r="E184" s="51" t="s">
        <v>1419</v>
      </c>
      <c r="F184" s="237" t="s">
        <v>3324</v>
      </c>
      <c r="H184" s="51" t="s">
        <v>3509</v>
      </c>
      <c r="I184" s="51" t="s">
        <v>3510</v>
      </c>
      <c r="J184" s="51" t="str">
        <f t="shared" si="2"/>
        <v>GoldTANAKA Electronics(Malasia) SDN. BHD.</v>
      </c>
    </row>
    <row r="185" spans="1:10" ht="10.5" customHeight="1">
      <c r="A185" s="51" t="s">
        <v>2436</v>
      </c>
      <c r="B185" s="51" t="s">
        <v>58</v>
      </c>
      <c r="C185" s="51" t="s">
        <v>2574</v>
      </c>
      <c r="D185" s="51" t="s">
        <v>2362</v>
      </c>
      <c r="E185" s="51" t="s">
        <v>1419</v>
      </c>
      <c r="F185" s="237" t="s">
        <v>3324</v>
      </c>
      <c r="H185" s="51" t="s">
        <v>3509</v>
      </c>
      <c r="I185" s="51" t="s">
        <v>3510</v>
      </c>
      <c r="J185" s="51" t="str">
        <f t="shared" si="2"/>
        <v>GoldTanaka Electronics（Singapore）Pte.Ltd</v>
      </c>
    </row>
    <row r="186" spans="1:10" ht="10.5" customHeight="1">
      <c r="A186" s="51" t="s">
        <v>2436</v>
      </c>
      <c r="B186" s="51" t="s">
        <v>3511</v>
      </c>
      <c r="C186" s="51" t="s">
        <v>2574</v>
      </c>
      <c r="D186" s="51" t="s">
        <v>2362</v>
      </c>
      <c r="E186" s="51" t="s">
        <v>1419</v>
      </c>
      <c r="F186" s="237" t="s">
        <v>3324</v>
      </c>
      <c r="H186" s="51" t="s">
        <v>3509</v>
      </c>
      <c r="I186" s="51" t="s">
        <v>3510</v>
      </c>
      <c r="J186" s="51" t="str">
        <f t="shared" si="2"/>
        <v>GoldTanaka Kikinzoku International</v>
      </c>
    </row>
    <row r="187" spans="1:10" ht="10.5" customHeight="1">
      <c r="A187" s="51" t="s">
        <v>2436</v>
      </c>
      <c r="B187" s="51" t="s">
        <v>2574</v>
      </c>
      <c r="C187" s="51" t="s">
        <v>2574</v>
      </c>
      <c r="D187" s="51" t="s">
        <v>2362</v>
      </c>
      <c r="E187" s="51" t="s">
        <v>1419</v>
      </c>
      <c r="F187" s="237" t="s">
        <v>3324</v>
      </c>
      <c r="H187" s="51" t="s">
        <v>3509</v>
      </c>
      <c r="I187" s="51" t="s">
        <v>3510</v>
      </c>
      <c r="J187" s="51" t="str">
        <f t="shared" si="2"/>
        <v>GoldTanaka Kikinzoku Kogyo K.K.</v>
      </c>
    </row>
    <row r="188" spans="1:10" ht="10.5" customHeight="1">
      <c r="A188" s="51" t="s">
        <v>2436</v>
      </c>
      <c r="B188" s="51" t="s">
        <v>3512</v>
      </c>
      <c r="C188" s="51" t="s">
        <v>2574</v>
      </c>
      <c r="D188" s="51" t="s">
        <v>2362</v>
      </c>
      <c r="E188" s="51" t="s">
        <v>1419</v>
      </c>
      <c r="F188" s="237" t="s">
        <v>3324</v>
      </c>
      <c r="H188" s="51" t="s">
        <v>3509</v>
      </c>
      <c r="I188" s="51" t="s">
        <v>3510</v>
      </c>
      <c r="J188" s="51" t="str">
        <f t="shared" si="2"/>
        <v>GoldTanaka Precious Metals</v>
      </c>
    </row>
    <row r="189" spans="1:10" ht="10.5" customHeight="1">
      <c r="A189" s="51" t="s">
        <v>2436</v>
      </c>
      <c r="B189" s="51" t="s">
        <v>1279</v>
      </c>
      <c r="C189" s="51" t="s">
        <v>4548</v>
      </c>
      <c r="D189" s="51" t="s">
        <v>2294</v>
      </c>
      <c r="E189" s="51" t="s">
        <v>1420</v>
      </c>
      <c r="F189" s="237" t="s">
        <v>3324</v>
      </c>
      <c r="H189" s="51" t="s">
        <v>3500</v>
      </c>
      <c r="I189" s="51" t="s">
        <v>3501</v>
      </c>
      <c r="J189" s="51" t="str">
        <f t="shared" si="2"/>
        <v>GoldThe Great Wall Gold and Silver Refinery of China</v>
      </c>
    </row>
    <row r="190" spans="1:10" ht="10.5" customHeight="1">
      <c r="A190" s="51" t="s">
        <v>2436</v>
      </c>
      <c r="B190" s="51" t="s">
        <v>2044</v>
      </c>
      <c r="C190" s="51" t="s">
        <v>2435</v>
      </c>
      <c r="D190" s="51" t="s">
        <v>2267</v>
      </c>
      <c r="E190" s="51" t="s">
        <v>1429</v>
      </c>
      <c r="F190" s="237" t="s">
        <v>3324</v>
      </c>
      <c r="H190" s="51" t="s">
        <v>3528</v>
      </c>
      <c r="I190" s="51" t="s">
        <v>3529</v>
      </c>
      <c r="J190" s="51" t="str">
        <f t="shared" si="2"/>
        <v>GoldThe Perth Mint</v>
      </c>
    </row>
    <row r="191" spans="1:10" ht="10.5" customHeight="1">
      <c r="A191" s="51" t="s">
        <v>2436</v>
      </c>
      <c r="B191" s="51" t="s">
        <v>4425</v>
      </c>
      <c r="C191" s="51" t="s">
        <v>4425</v>
      </c>
      <c r="D191" s="51" t="s">
        <v>2294</v>
      </c>
      <c r="E191" s="51" t="s">
        <v>1421</v>
      </c>
      <c r="F191" s="237" t="s">
        <v>3324</v>
      </c>
      <c r="H191" s="51" t="s">
        <v>3496</v>
      </c>
      <c r="I191" s="51" t="s">
        <v>3473</v>
      </c>
      <c r="J191" s="51" t="str">
        <f t="shared" si="2"/>
        <v>GoldThe Refinery of Shandong Gold Mining Co., Ltd.</v>
      </c>
    </row>
    <row r="192" spans="1:10" ht="10.5" customHeight="1">
      <c r="A192" s="51" t="s">
        <v>2436</v>
      </c>
      <c r="B192" s="51" t="s">
        <v>4426</v>
      </c>
      <c r="C192" s="51" t="s">
        <v>4426</v>
      </c>
      <c r="D192" s="51" t="s">
        <v>2362</v>
      </c>
      <c r="E192" s="51" t="s">
        <v>1422</v>
      </c>
      <c r="F192" s="237" t="s">
        <v>3324</v>
      </c>
      <c r="H192" s="51" t="s">
        <v>3515</v>
      </c>
      <c r="I192" s="51" t="s">
        <v>3382</v>
      </c>
      <c r="J192" s="51" t="str">
        <f t="shared" si="2"/>
        <v>GoldTokuriki Honten Co., Ltd.</v>
      </c>
    </row>
    <row r="193" spans="1:10" ht="10.5" customHeight="1">
      <c r="A193" s="51" t="s">
        <v>2436</v>
      </c>
      <c r="B193" s="51" t="s">
        <v>4500</v>
      </c>
      <c r="C193" s="51" t="s">
        <v>4500</v>
      </c>
      <c r="D193" s="51" t="s">
        <v>2294</v>
      </c>
      <c r="E193" s="51" t="s">
        <v>1423</v>
      </c>
      <c r="F193" s="237" t="s">
        <v>3324</v>
      </c>
      <c r="H193" s="51" t="s">
        <v>3516</v>
      </c>
      <c r="I193" s="51" t="s">
        <v>3517</v>
      </c>
      <c r="J193" s="51" t="str">
        <f t="shared" si="2"/>
        <v>GoldTongling Nonferrous Metals Group Co., Ltd.</v>
      </c>
    </row>
    <row r="194" spans="1:10" ht="10.5" customHeight="1">
      <c r="A194" s="51" t="s">
        <v>2436</v>
      </c>
      <c r="B194" s="51" t="s">
        <v>3519</v>
      </c>
      <c r="C194" s="51" t="s">
        <v>4500</v>
      </c>
      <c r="D194" s="51" t="s">
        <v>2294</v>
      </c>
      <c r="E194" s="51" t="s">
        <v>1423</v>
      </c>
      <c r="F194" s="237" t="s">
        <v>3324</v>
      </c>
      <c r="H194" s="51" t="s">
        <v>3516</v>
      </c>
      <c r="I194" s="51" t="s">
        <v>3517</v>
      </c>
      <c r="J194" s="51" t="str">
        <f t="shared" si="2"/>
        <v>GoldTongLing Nonferrous Metals Group Holdings Co., Ltd.</v>
      </c>
    </row>
    <row r="195" spans="1:10" ht="10.5" customHeight="1">
      <c r="A195" s="51" t="s">
        <v>2436</v>
      </c>
      <c r="B195" s="51" t="s">
        <v>1254</v>
      </c>
      <c r="C195" s="51" t="s">
        <v>1254</v>
      </c>
      <c r="D195" s="51" t="s">
        <v>2369</v>
      </c>
      <c r="E195" s="51" t="s">
        <v>1424</v>
      </c>
      <c r="F195" s="237" t="s">
        <v>3324</v>
      </c>
      <c r="H195" s="51" t="s">
        <v>3520</v>
      </c>
      <c r="I195" s="51" t="s">
        <v>3521</v>
      </c>
      <c r="J195" s="51" t="str">
        <f t="shared" si="2"/>
        <v>GoldTorecom</v>
      </c>
    </row>
    <row r="196" spans="1:10" ht="10.5" customHeight="1">
      <c r="A196" s="51" t="s">
        <v>2436</v>
      </c>
      <c r="B196" s="51" t="s">
        <v>3508</v>
      </c>
      <c r="C196" s="51" t="s">
        <v>93</v>
      </c>
      <c r="D196" s="51" t="s">
        <v>2362</v>
      </c>
      <c r="E196" s="51" t="s">
        <v>1418</v>
      </c>
      <c r="F196" s="237" t="s">
        <v>3324</v>
      </c>
      <c r="H196" s="51" t="s">
        <v>3507</v>
      </c>
      <c r="I196" s="51" t="s">
        <v>4538</v>
      </c>
      <c r="J196" s="51" t="str">
        <f t="shared" si="2"/>
        <v>GoldToyo Smelter &amp; Refinery</v>
      </c>
    </row>
    <row r="197" spans="1:10" ht="10.5" customHeight="1">
      <c r="A197" s="51" t="s">
        <v>2436</v>
      </c>
      <c r="B197" s="51" t="s">
        <v>4427</v>
      </c>
      <c r="C197" s="51" t="s">
        <v>4427</v>
      </c>
      <c r="D197" s="51" t="s">
        <v>2283</v>
      </c>
      <c r="E197" s="51" t="s">
        <v>1425</v>
      </c>
      <c r="F197" s="237" t="s">
        <v>3324</v>
      </c>
      <c r="H197" s="51" t="s">
        <v>3522</v>
      </c>
      <c r="I197" s="51" t="s">
        <v>3523</v>
      </c>
      <c r="J197" s="51" t="str">
        <f t="shared" si="2"/>
        <v>GoldUmicore Brasil Ltda.</v>
      </c>
    </row>
    <row r="198" spans="1:10" ht="10.5" customHeight="1">
      <c r="A198" s="51" t="s">
        <v>2436</v>
      </c>
      <c r="B198" s="51" t="s">
        <v>228</v>
      </c>
      <c r="C198" s="51" t="s">
        <v>228</v>
      </c>
      <c r="D198" s="51" t="s">
        <v>1851</v>
      </c>
      <c r="E198" s="51" t="s">
        <v>229</v>
      </c>
      <c r="F198" s="237" t="s">
        <v>3324</v>
      </c>
      <c r="H198" s="51" t="s">
        <v>3547</v>
      </c>
      <c r="I198" s="51" t="s">
        <v>3548</v>
      </c>
      <c r="J198" s="51" t="str">
        <f t="shared" si="2"/>
        <v>GoldUmicore Precious Metals Thailand</v>
      </c>
    </row>
    <row r="199" spans="1:10" ht="10.5" customHeight="1">
      <c r="A199" s="51" t="s">
        <v>2436</v>
      </c>
      <c r="B199" s="51" t="s">
        <v>2575</v>
      </c>
      <c r="C199" s="51" t="s">
        <v>2575</v>
      </c>
      <c r="D199" s="51" t="s">
        <v>2271</v>
      </c>
      <c r="E199" s="51" t="s">
        <v>1426</v>
      </c>
      <c r="F199" s="237" t="s">
        <v>3324</v>
      </c>
      <c r="H199" s="51" t="s">
        <v>3524</v>
      </c>
      <c r="I199" s="51" t="s">
        <v>3525</v>
      </c>
      <c r="J199" s="51" t="str">
        <f t="shared" si="2"/>
        <v>GoldUmicore SA Business Unit Precious Metals Refining</v>
      </c>
    </row>
    <row r="200" spans="1:10" ht="10.5" customHeight="1">
      <c r="A200" s="51" t="s">
        <v>2436</v>
      </c>
      <c r="B200" s="51" t="s">
        <v>1576</v>
      </c>
      <c r="C200" s="51" t="s">
        <v>1576</v>
      </c>
      <c r="D200" s="51" t="s">
        <v>1867</v>
      </c>
      <c r="E200" s="51" t="s">
        <v>1427</v>
      </c>
      <c r="F200" s="237" t="s">
        <v>3324</v>
      </c>
      <c r="H200" s="51" t="s">
        <v>3526</v>
      </c>
      <c r="I200" s="51" t="s">
        <v>3437</v>
      </c>
      <c r="J200" s="51" t="str">
        <f t="shared" si="2"/>
        <v>GoldUnited Precious Metal Refining, Inc.</v>
      </c>
    </row>
    <row r="201" spans="1:10" ht="10.5" customHeight="1">
      <c r="A201" s="51" t="s">
        <v>2436</v>
      </c>
      <c r="B201" s="51" t="s">
        <v>2576</v>
      </c>
      <c r="C201" s="51" t="s">
        <v>2576</v>
      </c>
      <c r="D201" s="51" t="s">
        <v>2292</v>
      </c>
      <c r="E201" s="51" t="s">
        <v>1428</v>
      </c>
      <c r="F201" s="237" t="s">
        <v>3324</v>
      </c>
      <c r="H201" s="51" t="s">
        <v>3527</v>
      </c>
      <c r="I201" s="51" t="s">
        <v>3339</v>
      </c>
      <c r="J201" s="51" t="str">
        <f t="shared" ref="J201:J264" si="3">A201&amp;B201</f>
        <v>GoldValcambi SA</v>
      </c>
    </row>
    <row r="202" spans="1:10" ht="10.5" customHeight="1">
      <c r="A202" s="51" t="s">
        <v>2436</v>
      </c>
      <c r="B202" s="51" t="s">
        <v>2435</v>
      </c>
      <c r="C202" s="51" t="s">
        <v>2435</v>
      </c>
      <c r="D202" s="51" t="s">
        <v>2267</v>
      </c>
      <c r="E202" s="51" t="s">
        <v>1429</v>
      </c>
      <c r="F202" s="237" t="s">
        <v>3324</v>
      </c>
      <c r="H202" s="51" t="s">
        <v>3528</v>
      </c>
      <c r="I202" s="51" t="s">
        <v>3529</v>
      </c>
      <c r="J202" s="51" t="str">
        <f t="shared" si="3"/>
        <v>GoldWestern Australian Mint trading as The Perth Mint</v>
      </c>
    </row>
    <row r="203" spans="1:10" ht="10.5" customHeight="1">
      <c r="A203" s="51" t="s">
        <v>2436</v>
      </c>
      <c r="B203" s="51" t="s">
        <v>4524</v>
      </c>
      <c r="C203" s="51" t="s">
        <v>4524</v>
      </c>
      <c r="D203" s="51" t="s">
        <v>2308</v>
      </c>
      <c r="E203" s="51" t="s">
        <v>4527</v>
      </c>
      <c r="F203" s="237" t="s">
        <v>3324</v>
      </c>
      <c r="H203" s="51" t="s">
        <v>3331</v>
      </c>
      <c r="I203" s="51" t="s">
        <v>3332</v>
      </c>
      <c r="J203" s="51" t="str">
        <f t="shared" si="3"/>
        <v>GoldWIELAND Edelmetalle GmbH</v>
      </c>
    </row>
    <row r="204" spans="1:10" ht="10.5" customHeight="1">
      <c r="A204" s="51" t="s">
        <v>2436</v>
      </c>
      <c r="B204" s="51" t="s">
        <v>59</v>
      </c>
      <c r="C204" s="51" t="s">
        <v>1901</v>
      </c>
      <c r="D204" s="51" t="s">
        <v>1867</v>
      </c>
      <c r="E204" s="51" t="s">
        <v>1385</v>
      </c>
      <c r="F204" s="237" t="s">
        <v>3324</v>
      </c>
      <c r="H204" s="51" t="s">
        <v>3436</v>
      </c>
      <c r="I204" s="51" t="s">
        <v>3437</v>
      </c>
      <c r="J204" s="51" t="str">
        <f t="shared" si="3"/>
        <v>GoldWilliams Advanced Materials</v>
      </c>
    </row>
    <row r="205" spans="1:10" ht="10.5" customHeight="1">
      <c r="A205" s="51" t="s">
        <v>2436</v>
      </c>
      <c r="B205" s="51" t="s">
        <v>3360</v>
      </c>
      <c r="C205" s="51" t="s">
        <v>4591</v>
      </c>
      <c r="D205" s="52" t="s">
        <v>2290</v>
      </c>
      <c r="E205" s="51" t="s">
        <v>1344</v>
      </c>
      <c r="F205" s="237" t="s">
        <v>3324</v>
      </c>
      <c r="H205" s="51" t="s">
        <v>3357</v>
      </c>
      <c r="I205" s="51" t="s">
        <v>3358</v>
      </c>
      <c r="J205" s="51" t="str">
        <f t="shared" si="3"/>
        <v>GoldXstrata</v>
      </c>
    </row>
    <row r="206" spans="1:10" ht="10.5" customHeight="1">
      <c r="A206" s="51" t="s">
        <v>2436</v>
      </c>
      <c r="B206" s="51" t="s">
        <v>4429</v>
      </c>
      <c r="C206" s="51" t="s">
        <v>4429</v>
      </c>
      <c r="D206" s="51" t="s">
        <v>2362</v>
      </c>
      <c r="E206" s="51" t="s">
        <v>1430</v>
      </c>
      <c r="F206" s="237" t="s">
        <v>3324</v>
      </c>
      <c r="H206" s="51" t="s">
        <v>3405</v>
      </c>
      <c r="I206" s="51" t="s">
        <v>3406</v>
      </c>
      <c r="J206" s="51" t="str">
        <f t="shared" si="3"/>
        <v>GoldYamamoto Precious Metal Co., Ltd.</v>
      </c>
    </row>
    <row r="207" spans="1:10" ht="10.5" customHeight="1">
      <c r="A207" s="51" t="s">
        <v>2436</v>
      </c>
      <c r="B207" s="51" t="s">
        <v>3534</v>
      </c>
      <c r="C207" s="51" t="s">
        <v>4429</v>
      </c>
      <c r="D207" s="51" t="s">
        <v>2362</v>
      </c>
      <c r="E207" s="51" t="s">
        <v>1430</v>
      </c>
      <c r="F207" s="237" t="s">
        <v>3324</v>
      </c>
      <c r="H207" s="51" t="s">
        <v>3405</v>
      </c>
      <c r="I207" s="51" t="s">
        <v>3406</v>
      </c>
      <c r="J207" s="51" t="str">
        <f t="shared" si="3"/>
        <v>GoldYamamoto Precision Metals</v>
      </c>
    </row>
    <row r="208" spans="1:10" ht="10.5" customHeight="1">
      <c r="A208" s="51" t="s">
        <v>2436</v>
      </c>
      <c r="B208" s="51" t="s">
        <v>3391</v>
      </c>
      <c r="C208" s="51" t="s">
        <v>3387</v>
      </c>
      <c r="D208" s="51" t="s">
        <v>2294</v>
      </c>
      <c r="E208" s="51" t="s">
        <v>3388</v>
      </c>
      <c r="F208" s="237" t="s">
        <v>3324</v>
      </c>
      <c r="H208" s="51" t="s">
        <v>3389</v>
      </c>
      <c r="I208" s="51" t="s">
        <v>4382</v>
      </c>
      <c r="J208" s="51" t="str">
        <f t="shared" si="3"/>
        <v>GoldYantai NUS Safina tech environmental Refinery Co. Ltd.</v>
      </c>
    </row>
    <row r="209" spans="1:10" ht="10.5" customHeight="1">
      <c r="A209" s="51" t="s">
        <v>2436</v>
      </c>
      <c r="B209" s="51" t="s">
        <v>4430</v>
      </c>
      <c r="C209" s="51" t="s">
        <v>4430</v>
      </c>
      <c r="D209" s="51" t="s">
        <v>2362</v>
      </c>
      <c r="E209" s="51" t="s">
        <v>1431</v>
      </c>
      <c r="F209" s="237" t="s">
        <v>3324</v>
      </c>
      <c r="H209" s="51" t="s">
        <v>3535</v>
      </c>
      <c r="I209" s="51" t="s">
        <v>3510</v>
      </c>
      <c r="J209" s="51" t="str">
        <f t="shared" si="3"/>
        <v>GoldYokohama Metal Co., Ltd.</v>
      </c>
    </row>
    <row r="210" spans="1:10" ht="10.5" customHeight="1">
      <c r="A210" s="51" t="s">
        <v>2436</v>
      </c>
      <c r="B210" s="52" t="s">
        <v>4396</v>
      </c>
      <c r="C210" s="51" t="s">
        <v>4396</v>
      </c>
      <c r="D210" s="52" t="s">
        <v>2294</v>
      </c>
      <c r="E210" s="51" t="s">
        <v>1432</v>
      </c>
      <c r="F210" s="237" t="s">
        <v>3324</v>
      </c>
      <c r="H210" s="51" t="s">
        <v>3363</v>
      </c>
      <c r="I210" s="51" t="s">
        <v>3364</v>
      </c>
      <c r="J210" s="51" t="str">
        <f t="shared" si="3"/>
        <v>GoldYunnan Copper Industry Co., Ltd.</v>
      </c>
    </row>
    <row r="211" spans="1:10" ht="10.5" customHeight="1">
      <c r="A211" s="51" t="s">
        <v>2436</v>
      </c>
      <c r="B211" s="51" t="s">
        <v>60</v>
      </c>
      <c r="C211" s="51" t="s">
        <v>4422</v>
      </c>
      <c r="D211" s="51" t="s">
        <v>2294</v>
      </c>
      <c r="E211" s="51" t="s">
        <v>1413</v>
      </c>
      <c r="F211" s="237" t="s">
        <v>3324</v>
      </c>
      <c r="H211" s="51" t="s">
        <v>3389</v>
      </c>
      <c r="I211" s="51" t="s">
        <v>3474</v>
      </c>
      <c r="J211" s="51" t="str">
        <f t="shared" si="3"/>
        <v>GoldZhao Jin Mining Industry Co Ltd</v>
      </c>
    </row>
    <row r="212" spans="1:10" ht="10.5" customHeight="1">
      <c r="A212" s="51" t="s">
        <v>2436</v>
      </c>
      <c r="B212" s="51" t="s">
        <v>61</v>
      </c>
      <c r="C212" s="51" t="s">
        <v>4422</v>
      </c>
      <c r="D212" s="51" t="s">
        <v>2294</v>
      </c>
      <c r="E212" s="51" t="s">
        <v>1413</v>
      </c>
      <c r="F212" s="237" t="s">
        <v>3324</v>
      </c>
      <c r="H212" s="51" t="s">
        <v>3389</v>
      </c>
      <c r="I212" s="51" t="s">
        <v>3474</v>
      </c>
      <c r="J212" s="51" t="str">
        <f t="shared" si="3"/>
        <v>GoldZhao Yuan Gold Mine</v>
      </c>
    </row>
    <row r="213" spans="1:10" ht="10.5" customHeight="1">
      <c r="A213" s="51" t="s">
        <v>2436</v>
      </c>
      <c r="B213" s="51" t="s">
        <v>3538</v>
      </c>
      <c r="C213" s="51" t="s">
        <v>4422</v>
      </c>
      <c r="D213" s="51" t="s">
        <v>2294</v>
      </c>
      <c r="E213" s="51" t="s">
        <v>1413</v>
      </c>
      <c r="F213" s="237" t="s">
        <v>3324</v>
      </c>
      <c r="H213" s="51" t="s">
        <v>3389</v>
      </c>
      <c r="I213" s="51" t="s">
        <v>3474</v>
      </c>
      <c r="J213" s="51" t="str">
        <f t="shared" si="3"/>
        <v>GoldZhao Yuan Gold Smelter of ZhongJin</v>
      </c>
    </row>
    <row r="214" spans="1:10" ht="10.5" customHeight="1">
      <c r="A214" s="51" t="s">
        <v>2436</v>
      </c>
      <c r="B214" s="51" t="s">
        <v>62</v>
      </c>
      <c r="C214" s="51" t="s">
        <v>4422</v>
      </c>
      <c r="D214" s="51" t="s">
        <v>2294</v>
      </c>
      <c r="E214" s="51" t="s">
        <v>1413</v>
      </c>
      <c r="F214" s="237" t="s">
        <v>3324</v>
      </c>
      <c r="H214" s="51" t="s">
        <v>3389</v>
      </c>
      <c r="I214" s="51" t="s">
        <v>3474</v>
      </c>
      <c r="J214" s="51" t="str">
        <f t="shared" si="3"/>
        <v>GoldZhao Yuan Jin Kuang</v>
      </c>
    </row>
    <row r="215" spans="1:10" ht="10.5" customHeight="1">
      <c r="A215" s="51" t="s">
        <v>2436</v>
      </c>
      <c r="B215" s="51" t="s">
        <v>3499</v>
      </c>
      <c r="C215" s="51" t="s">
        <v>4422</v>
      </c>
      <c r="D215" s="51" t="s">
        <v>2294</v>
      </c>
      <c r="E215" s="51" t="s">
        <v>1413</v>
      </c>
      <c r="F215" s="237" t="s">
        <v>3324</v>
      </c>
      <c r="H215" s="51" t="s">
        <v>3389</v>
      </c>
      <c r="I215" s="51" t="s">
        <v>3474</v>
      </c>
      <c r="J215" s="51" t="str">
        <f t="shared" si="3"/>
        <v>GoldZhaojin Mining Industry Co., Ltd.</v>
      </c>
    </row>
    <row r="216" spans="1:10" ht="10.5" customHeight="1">
      <c r="A216" s="51" t="s">
        <v>2436</v>
      </c>
      <c r="B216" s="51" t="s">
        <v>3539</v>
      </c>
      <c r="C216" s="51" t="s">
        <v>4422</v>
      </c>
      <c r="D216" s="51" t="s">
        <v>2294</v>
      </c>
      <c r="E216" s="51" t="s">
        <v>1413</v>
      </c>
      <c r="F216" s="237" t="s">
        <v>3324</v>
      </c>
      <c r="H216" s="51" t="s">
        <v>3389</v>
      </c>
      <c r="I216" s="51" t="s">
        <v>3474</v>
      </c>
      <c r="J216" s="51" t="str">
        <f t="shared" si="3"/>
        <v>GoldZhaoyuan Gold Group</v>
      </c>
    </row>
    <row r="217" spans="1:10" ht="10.5" customHeight="1">
      <c r="A217" s="51" t="s">
        <v>2436</v>
      </c>
      <c r="B217" s="51" t="s">
        <v>2577</v>
      </c>
      <c r="C217" s="51" t="s">
        <v>2696</v>
      </c>
      <c r="D217" s="51" t="s">
        <v>2294</v>
      </c>
      <c r="E217" s="51" t="s">
        <v>1433</v>
      </c>
      <c r="F217" s="237" t="s">
        <v>3324</v>
      </c>
      <c r="H217" s="51" t="s">
        <v>3536</v>
      </c>
      <c r="I217" s="51" t="s">
        <v>3431</v>
      </c>
      <c r="J217" s="51" t="str">
        <f t="shared" si="3"/>
        <v>GoldZhongjin Gold Corporation Limited</v>
      </c>
    </row>
    <row r="218" spans="1:10" ht="10.5" customHeight="1">
      <c r="A218" s="51" t="s">
        <v>2436</v>
      </c>
      <c r="B218" s="51" t="s">
        <v>2696</v>
      </c>
      <c r="C218" s="51" t="s">
        <v>2696</v>
      </c>
      <c r="D218" s="51" t="s">
        <v>2294</v>
      </c>
      <c r="E218" s="51" t="s">
        <v>1433</v>
      </c>
      <c r="F218" s="237" t="s">
        <v>3324</v>
      </c>
      <c r="H218" s="51" t="s">
        <v>3536</v>
      </c>
      <c r="I218" s="51" t="s">
        <v>3431</v>
      </c>
      <c r="J218" s="51" t="str">
        <f t="shared" si="3"/>
        <v>GoldZhongyuan Gold Smelter of Zhongjin Gold Corporation</v>
      </c>
    </row>
    <row r="219" spans="1:10" ht="10.5" customHeight="1">
      <c r="A219" s="51" t="s">
        <v>2436</v>
      </c>
      <c r="B219" s="51" t="s">
        <v>63</v>
      </c>
      <c r="C219" s="51" t="s">
        <v>4544</v>
      </c>
      <c r="D219" s="51" t="s">
        <v>2294</v>
      </c>
      <c r="E219" s="51" t="s">
        <v>1434</v>
      </c>
      <c r="F219" s="237" t="s">
        <v>3324</v>
      </c>
      <c r="H219" s="51" t="s">
        <v>3541</v>
      </c>
      <c r="I219" s="51" t="s">
        <v>3542</v>
      </c>
      <c r="J219" s="51" t="str">
        <f t="shared" si="3"/>
        <v>GoldZijin Kuang Ye Refinery</v>
      </c>
    </row>
    <row r="220" spans="1:10" ht="10.5" customHeight="1">
      <c r="A220" s="51" t="s">
        <v>2436</v>
      </c>
      <c r="B220" s="51" t="s">
        <v>4544</v>
      </c>
      <c r="C220" s="51" t="s">
        <v>4544</v>
      </c>
      <c r="D220" s="51" t="s">
        <v>2294</v>
      </c>
      <c r="E220" s="51" t="s">
        <v>1434</v>
      </c>
      <c r="F220" s="237" t="s">
        <v>3324</v>
      </c>
      <c r="H220" s="51" t="s">
        <v>3541</v>
      </c>
      <c r="I220" s="51" t="s">
        <v>3542</v>
      </c>
      <c r="J220" s="51" t="str">
        <f t="shared" si="3"/>
        <v>GoldZijin Mining Group Co., Ltd. Gold Refinery</v>
      </c>
    </row>
    <row r="221" spans="1:10" ht="10.5" customHeight="1">
      <c r="A221" s="51" t="s">
        <v>2436</v>
      </c>
      <c r="B221" s="51" t="s">
        <v>3543</v>
      </c>
      <c r="C221" s="51" t="s">
        <v>4544</v>
      </c>
      <c r="D221" s="51" t="s">
        <v>2294</v>
      </c>
      <c r="E221" s="51" t="s">
        <v>1434</v>
      </c>
      <c r="F221" s="237" t="s">
        <v>3324</v>
      </c>
      <c r="H221" s="51" t="s">
        <v>3541</v>
      </c>
      <c r="I221" s="51" t="s">
        <v>3542</v>
      </c>
      <c r="J221" s="51" t="str">
        <f t="shared" si="3"/>
        <v>GoldZijin Mining Industry Corporation</v>
      </c>
    </row>
    <row r="222" spans="1:10" ht="10.5" customHeight="1">
      <c r="A222" s="51" t="s">
        <v>2436</v>
      </c>
      <c r="B222" s="51" t="s">
        <v>3831</v>
      </c>
      <c r="J222" s="51" t="str">
        <f t="shared" si="3"/>
        <v>GoldSmelter not listed</v>
      </c>
    </row>
    <row r="223" spans="1:10" ht="10.5" customHeight="1">
      <c r="A223" s="51" t="s">
        <v>2438</v>
      </c>
      <c r="B223" s="303" t="s">
        <v>4581</v>
      </c>
      <c r="C223" s="303" t="s">
        <v>4581</v>
      </c>
      <c r="D223" s="303" t="s">
        <v>2329</v>
      </c>
      <c r="E223" s="303" t="s">
        <v>4582</v>
      </c>
      <c r="F223" s="237" t="s">
        <v>3324</v>
      </c>
      <c r="H223" s="51" t="s">
        <v>4583</v>
      </c>
      <c r="I223" s="51" t="s">
        <v>4584</v>
      </c>
      <c r="J223" s="51" t="str">
        <f t="shared" si="3"/>
        <v>TantalumAvon Specialty Metals Ltd</v>
      </c>
    </row>
    <row r="224" spans="1:10" ht="10.5" customHeight="1">
      <c r="A224" s="51" t="s">
        <v>2438</v>
      </c>
      <c r="B224" s="52" t="s">
        <v>3</v>
      </c>
      <c r="C224" s="52" t="s">
        <v>3</v>
      </c>
      <c r="D224" s="52" t="s">
        <v>2294</v>
      </c>
      <c r="E224" s="51" t="s">
        <v>1435</v>
      </c>
      <c r="F224" s="237" t="s">
        <v>3324</v>
      </c>
      <c r="H224" s="51" t="s">
        <v>3398</v>
      </c>
      <c r="I224" s="51" t="s">
        <v>3390</v>
      </c>
      <c r="J224" s="51" t="str">
        <f t="shared" si="3"/>
        <v>TantalumChangsha South Tantalum Niobium Co., Ltd.</v>
      </c>
    </row>
    <row r="225" spans="1:10" ht="10.5" customHeight="1">
      <c r="A225" s="51" t="s">
        <v>2438</v>
      </c>
      <c r="B225" s="51" t="s">
        <v>3582</v>
      </c>
      <c r="C225" s="51" t="s">
        <v>3</v>
      </c>
      <c r="D225" s="52" t="s">
        <v>2294</v>
      </c>
      <c r="E225" s="51" t="s">
        <v>1435</v>
      </c>
      <c r="F225" s="237" t="s">
        <v>3324</v>
      </c>
      <c r="H225" s="51" t="s">
        <v>3398</v>
      </c>
      <c r="I225" s="51" t="s">
        <v>3390</v>
      </c>
      <c r="J225" s="51" t="str">
        <f t="shared" si="3"/>
        <v>TantalumChangsha Southern</v>
      </c>
    </row>
    <row r="226" spans="1:10" ht="10.5" customHeight="1">
      <c r="A226" s="51" t="s">
        <v>2438</v>
      </c>
      <c r="B226" s="52" t="s">
        <v>2487</v>
      </c>
      <c r="C226" s="52" t="s">
        <v>2487</v>
      </c>
      <c r="D226" s="52" t="s">
        <v>2294</v>
      </c>
      <c r="E226" s="51" t="s">
        <v>1436</v>
      </c>
      <c r="F226" s="237" t="s">
        <v>3324</v>
      </c>
      <c r="H226" s="51" t="s">
        <v>3583</v>
      </c>
      <c r="I226" s="51" t="s">
        <v>3545</v>
      </c>
      <c r="J226" s="51" t="str">
        <f t="shared" si="3"/>
        <v>TantalumConghua Tantalum and Niobium Smeltry</v>
      </c>
    </row>
    <row r="227" spans="1:10" ht="10.5" customHeight="1">
      <c r="A227" s="51" t="s">
        <v>2438</v>
      </c>
      <c r="B227" s="51" t="s">
        <v>2835</v>
      </c>
      <c r="C227" s="51" t="s">
        <v>2835</v>
      </c>
      <c r="D227" s="51" t="s">
        <v>1867</v>
      </c>
      <c r="E227" s="51" t="s">
        <v>2836</v>
      </c>
      <c r="F227" s="237" t="s">
        <v>3324</v>
      </c>
      <c r="H227" s="51" t="s">
        <v>3622</v>
      </c>
      <c r="I227" s="51" t="s">
        <v>3623</v>
      </c>
      <c r="J227" s="51" t="str">
        <f t="shared" si="3"/>
        <v>TantalumD Block Metals, LLC</v>
      </c>
    </row>
    <row r="228" spans="1:10" ht="10.5" customHeight="1">
      <c r="A228" s="51" t="s">
        <v>2438</v>
      </c>
      <c r="B228" s="51" t="s">
        <v>65</v>
      </c>
      <c r="C228" s="51" t="s">
        <v>2483</v>
      </c>
      <c r="D228" s="51" t="s">
        <v>2294</v>
      </c>
      <c r="E228" s="51" t="s">
        <v>1437</v>
      </c>
      <c r="F228" s="237" t="s">
        <v>3324</v>
      </c>
      <c r="H228" s="51" t="s">
        <v>3584</v>
      </c>
      <c r="I228" s="51" t="s">
        <v>3545</v>
      </c>
      <c r="J228" s="51" t="str">
        <f t="shared" si="3"/>
        <v>TantalumDouluoshan Sapphire Rare Metal Co Ltd</v>
      </c>
    </row>
    <row r="229" spans="1:10" ht="10.5" customHeight="1">
      <c r="A229" s="51" t="s">
        <v>2438</v>
      </c>
      <c r="B229" s="51" t="s">
        <v>2483</v>
      </c>
      <c r="C229" s="51" t="s">
        <v>2483</v>
      </c>
      <c r="D229" s="51" t="s">
        <v>2294</v>
      </c>
      <c r="E229" s="51" t="s">
        <v>1437</v>
      </c>
      <c r="F229" s="237" t="s">
        <v>3324</v>
      </c>
      <c r="H229" s="51" t="s">
        <v>3584</v>
      </c>
      <c r="I229" s="51" t="s">
        <v>3545</v>
      </c>
      <c r="J229" s="51" t="str">
        <f t="shared" si="3"/>
        <v>TantalumDuoluoshan</v>
      </c>
    </row>
    <row r="230" spans="1:10" ht="10.5" customHeight="1">
      <c r="A230" s="51" t="s">
        <v>2438</v>
      </c>
      <c r="B230" s="51" t="s">
        <v>2420</v>
      </c>
      <c r="C230" s="51" t="s">
        <v>2420</v>
      </c>
      <c r="D230" s="51" t="s">
        <v>1867</v>
      </c>
      <c r="E230" s="51" t="s">
        <v>1438</v>
      </c>
      <c r="F230" s="237" t="s">
        <v>3324</v>
      </c>
      <c r="H230" s="51" t="s">
        <v>3585</v>
      </c>
      <c r="I230" s="51" t="s">
        <v>3559</v>
      </c>
      <c r="J230" s="51" t="str">
        <f t="shared" si="3"/>
        <v>TantalumExotech Inc.</v>
      </c>
    </row>
    <row r="231" spans="1:10" ht="10.5" customHeight="1">
      <c r="A231" s="51" t="s">
        <v>2438</v>
      </c>
      <c r="B231" s="51" t="s">
        <v>3587</v>
      </c>
      <c r="C231" s="51" t="s">
        <v>78</v>
      </c>
      <c r="D231" s="51" t="s">
        <v>2294</v>
      </c>
      <c r="E231" s="51" t="s">
        <v>1439</v>
      </c>
      <c r="F231" s="237" t="s">
        <v>3324</v>
      </c>
      <c r="H231" s="51" t="s">
        <v>3586</v>
      </c>
      <c r="I231" s="51" t="s">
        <v>3545</v>
      </c>
      <c r="J231" s="51" t="str">
        <f t="shared" si="3"/>
        <v>TantalumF &amp; X</v>
      </c>
    </row>
    <row r="232" spans="1:10" ht="10.5" customHeight="1">
      <c r="A232" s="51" t="s">
        <v>2438</v>
      </c>
      <c r="B232" s="51" t="s">
        <v>78</v>
      </c>
      <c r="C232" s="51" t="s">
        <v>78</v>
      </c>
      <c r="D232" s="51" t="s">
        <v>2294</v>
      </c>
      <c r="E232" s="51" t="s">
        <v>1439</v>
      </c>
      <c r="F232" s="237" t="s">
        <v>3324</v>
      </c>
      <c r="H232" s="51" t="s">
        <v>3586</v>
      </c>
      <c r="I232" s="51" t="s">
        <v>3545</v>
      </c>
      <c r="J232" s="51" t="str">
        <f t="shared" si="3"/>
        <v>TantalumF&amp;X Electro-Materials Ltd.</v>
      </c>
    </row>
    <row r="233" spans="1:10" ht="10.5" customHeight="1">
      <c r="A233" s="51" t="s">
        <v>2438</v>
      </c>
      <c r="B233" s="51" t="s">
        <v>4436</v>
      </c>
      <c r="C233" s="51" t="s">
        <v>4436</v>
      </c>
      <c r="D233" s="51" t="s">
        <v>2294</v>
      </c>
      <c r="E233" s="51" t="s">
        <v>2837</v>
      </c>
      <c r="F233" s="237" t="s">
        <v>3324</v>
      </c>
      <c r="H233" s="51" t="s">
        <v>3607</v>
      </c>
      <c r="I233" s="51" t="s">
        <v>3390</v>
      </c>
      <c r="J233" s="51" t="str">
        <f t="shared" si="3"/>
        <v>TantalumFIR Metals &amp; Resource Ltd.</v>
      </c>
    </row>
    <row r="234" spans="1:10" ht="10.5" customHeight="1">
      <c r="A234" s="51" t="s">
        <v>2438</v>
      </c>
      <c r="B234" s="51" t="s">
        <v>2873</v>
      </c>
      <c r="C234" s="51" t="s">
        <v>2873</v>
      </c>
      <c r="D234" s="51" t="s">
        <v>2362</v>
      </c>
      <c r="E234" s="51" t="s">
        <v>2874</v>
      </c>
      <c r="F234" s="237" t="s">
        <v>3324</v>
      </c>
      <c r="H234" s="51" t="s">
        <v>3643</v>
      </c>
      <c r="I234" s="51" t="s">
        <v>3344</v>
      </c>
      <c r="J234" s="51" t="str">
        <f t="shared" si="3"/>
        <v>TantalumGlobal Advanced Metals Aizu</v>
      </c>
    </row>
    <row r="235" spans="1:10" ht="10.5" customHeight="1">
      <c r="A235" s="51" t="s">
        <v>2438</v>
      </c>
      <c r="B235" s="51" t="s">
        <v>2875</v>
      </c>
      <c r="C235" s="51" t="s">
        <v>2875</v>
      </c>
      <c r="D235" s="51" t="s">
        <v>1867</v>
      </c>
      <c r="E235" s="51" t="s">
        <v>2876</v>
      </c>
      <c r="F235" s="237" t="s">
        <v>3324</v>
      </c>
      <c r="H235" s="51" t="s">
        <v>3642</v>
      </c>
      <c r="I235" s="51" t="s">
        <v>3613</v>
      </c>
      <c r="J235" s="51" t="str">
        <f t="shared" si="3"/>
        <v>TantalumGlobal Advanced Metals Boyertown</v>
      </c>
    </row>
    <row r="236" spans="1:10" ht="10.5" customHeight="1">
      <c r="A236" s="51" t="s">
        <v>2438</v>
      </c>
      <c r="B236" s="51" t="s">
        <v>1440</v>
      </c>
      <c r="C236" s="51" t="s">
        <v>1440</v>
      </c>
      <c r="D236" s="51" t="s">
        <v>2294</v>
      </c>
      <c r="E236" s="51" t="s">
        <v>1441</v>
      </c>
      <c r="F236" s="237" t="s">
        <v>3324</v>
      </c>
      <c r="H236" s="51" t="s">
        <v>3588</v>
      </c>
      <c r="I236" s="51" t="s">
        <v>3545</v>
      </c>
      <c r="J236" s="51" t="str">
        <f t="shared" si="3"/>
        <v>TantalumGuangdong Zhiyuan New Material Co., Ltd.</v>
      </c>
    </row>
    <row r="237" spans="1:10" ht="10.5" customHeight="1">
      <c r="A237" s="51" t="s">
        <v>2438</v>
      </c>
      <c r="B237" s="51" t="s">
        <v>2838</v>
      </c>
      <c r="C237" s="51" t="s">
        <v>2838</v>
      </c>
      <c r="D237" s="51" t="s">
        <v>2294</v>
      </c>
      <c r="E237" s="51" t="s">
        <v>2839</v>
      </c>
      <c r="F237" s="237" t="s">
        <v>3324</v>
      </c>
      <c r="H237" s="51" t="s">
        <v>3620</v>
      </c>
      <c r="I237" s="51" t="s">
        <v>3621</v>
      </c>
      <c r="J237" s="51" t="str">
        <f t="shared" si="3"/>
        <v>TantalumGuizhou Zhenhua Xinyun Technology Ltd., Kaili branch</v>
      </c>
    </row>
    <row r="238" spans="1:10" ht="10.5" customHeight="1">
      <c r="A238" s="51" t="s">
        <v>2438</v>
      </c>
      <c r="B238" s="51" t="s">
        <v>2877</v>
      </c>
      <c r="C238" s="51" t="s">
        <v>2877</v>
      </c>
      <c r="D238" s="51" t="s">
        <v>1851</v>
      </c>
      <c r="E238" s="51" t="s">
        <v>2878</v>
      </c>
      <c r="F238" s="237" t="s">
        <v>3324</v>
      </c>
      <c r="H238" s="51" t="s">
        <v>3630</v>
      </c>
      <c r="I238" s="51" t="s">
        <v>3631</v>
      </c>
      <c r="J238" s="51" t="str">
        <f t="shared" si="3"/>
        <v>TantalumH.C. Starck Co., Ltd.</v>
      </c>
    </row>
    <row r="239" spans="1:10" ht="10.5" customHeight="1">
      <c r="A239" s="51" t="s">
        <v>2438</v>
      </c>
      <c r="B239" s="51" t="s">
        <v>2879</v>
      </c>
      <c r="C239" s="51" t="s">
        <v>2879</v>
      </c>
      <c r="D239" s="51" t="s">
        <v>2308</v>
      </c>
      <c r="E239" s="51" t="s">
        <v>2880</v>
      </c>
      <c r="F239" s="237" t="s">
        <v>3324</v>
      </c>
      <c r="H239" s="51" t="s">
        <v>3632</v>
      </c>
      <c r="I239" s="51" t="s">
        <v>3633</v>
      </c>
      <c r="J239" s="51" t="str">
        <f t="shared" si="3"/>
        <v>TantalumH.C. Starck GmbH Goslar</v>
      </c>
    </row>
    <row r="240" spans="1:10" ht="10.5" customHeight="1">
      <c r="A240" s="51" t="s">
        <v>2438</v>
      </c>
      <c r="B240" s="51" t="s">
        <v>2881</v>
      </c>
      <c r="C240" s="51" t="s">
        <v>2881</v>
      </c>
      <c r="D240" s="51" t="s">
        <v>2308</v>
      </c>
      <c r="E240" s="51" t="s">
        <v>2882</v>
      </c>
      <c r="F240" s="237" t="s">
        <v>3324</v>
      </c>
      <c r="H240" s="51" t="s">
        <v>3634</v>
      </c>
      <c r="I240" s="51" t="s">
        <v>3332</v>
      </c>
      <c r="J240" s="51" t="str">
        <f t="shared" si="3"/>
        <v>TantalumH.C. Starck GmbH Laufenburg</v>
      </c>
    </row>
    <row r="241" spans="1:10" ht="10.5" customHeight="1">
      <c r="A241" s="51" t="s">
        <v>2438</v>
      </c>
      <c r="B241" s="51" t="s">
        <v>2883</v>
      </c>
      <c r="C241" s="51" t="s">
        <v>2883</v>
      </c>
      <c r="D241" s="51" t="s">
        <v>2308</v>
      </c>
      <c r="E241" s="51" t="s">
        <v>2884</v>
      </c>
      <c r="F241" s="237" t="s">
        <v>3324</v>
      </c>
      <c r="H241" s="51" t="s">
        <v>3635</v>
      </c>
      <c r="I241" s="51" t="s">
        <v>3636</v>
      </c>
      <c r="J241" s="51" t="str">
        <f t="shared" si="3"/>
        <v>TantalumH.C. Starck Hermsdorf GmbH</v>
      </c>
    </row>
    <row r="242" spans="1:10" ht="10.5" customHeight="1">
      <c r="A242" s="51" t="s">
        <v>2438</v>
      </c>
      <c r="B242" s="51" t="s">
        <v>2885</v>
      </c>
      <c r="C242" s="51" t="s">
        <v>2885</v>
      </c>
      <c r="D242" s="51" t="s">
        <v>1867</v>
      </c>
      <c r="E242" s="51" t="s">
        <v>2886</v>
      </c>
      <c r="F242" s="237" t="s">
        <v>3324</v>
      </c>
      <c r="H242" s="51" t="s">
        <v>3637</v>
      </c>
      <c r="I242" s="51" t="s">
        <v>3449</v>
      </c>
      <c r="J242" s="51" t="str">
        <f t="shared" si="3"/>
        <v>TantalumH.C. Starck Inc.</v>
      </c>
    </row>
    <row r="243" spans="1:10" ht="10.5" customHeight="1">
      <c r="A243" s="51" t="s">
        <v>2438</v>
      </c>
      <c r="B243" s="51" t="s">
        <v>2887</v>
      </c>
      <c r="C243" s="51" t="s">
        <v>2887</v>
      </c>
      <c r="D243" s="51" t="s">
        <v>2362</v>
      </c>
      <c r="E243" s="51" t="s">
        <v>2888</v>
      </c>
      <c r="F243" s="237" t="s">
        <v>3324</v>
      </c>
      <c r="H243" s="51" t="s">
        <v>3638</v>
      </c>
      <c r="I243" s="51" t="s">
        <v>3639</v>
      </c>
      <c r="J243" s="51" t="str">
        <f t="shared" si="3"/>
        <v>TantalumH.C. Starck Ltd.</v>
      </c>
    </row>
    <row r="244" spans="1:10" ht="10.5" customHeight="1">
      <c r="A244" s="51" t="s">
        <v>2438</v>
      </c>
      <c r="B244" s="51" t="s">
        <v>2889</v>
      </c>
      <c r="C244" s="51" t="s">
        <v>2889</v>
      </c>
      <c r="D244" s="51" t="s">
        <v>2308</v>
      </c>
      <c r="E244" s="51" t="s">
        <v>2890</v>
      </c>
      <c r="F244" s="237" t="s">
        <v>3324</v>
      </c>
      <c r="H244" s="51" t="s">
        <v>3634</v>
      </c>
      <c r="I244" s="51" t="s">
        <v>3332</v>
      </c>
      <c r="J244" s="51" t="str">
        <f t="shared" si="3"/>
        <v>TantalumH.C. Starck Smelting GmbH &amp; Co.KG</v>
      </c>
    </row>
    <row r="245" spans="1:10" ht="10.5" customHeight="1">
      <c r="A245" s="51" t="s">
        <v>2438</v>
      </c>
      <c r="B245" s="51" t="s">
        <v>4</v>
      </c>
      <c r="C245" s="51" t="s">
        <v>4</v>
      </c>
      <c r="D245" s="51" t="s">
        <v>2294</v>
      </c>
      <c r="E245" s="51" t="s">
        <v>776</v>
      </c>
      <c r="F245" s="237" t="s">
        <v>3324</v>
      </c>
      <c r="H245" s="51" t="s">
        <v>3619</v>
      </c>
      <c r="I245" s="51" t="s">
        <v>3390</v>
      </c>
      <c r="J245" s="51" t="str">
        <f t="shared" si="3"/>
        <v>TantalumHengyang King Xing Lifeng New Materials Co., Ltd.</v>
      </c>
    </row>
    <row r="246" spans="1:10" ht="10.5" customHeight="1">
      <c r="A246" s="51" t="s">
        <v>2438</v>
      </c>
      <c r="B246" s="51" t="s">
        <v>2423</v>
      </c>
      <c r="C246" s="51" t="s">
        <v>3589</v>
      </c>
      <c r="D246" s="51" t="s">
        <v>1867</v>
      </c>
      <c r="E246" s="51" t="s">
        <v>1442</v>
      </c>
      <c r="F246" s="237" t="s">
        <v>3324</v>
      </c>
      <c r="H246" s="51" t="s">
        <v>3590</v>
      </c>
      <c r="I246" s="51" t="s">
        <v>3437</v>
      </c>
      <c r="J246" s="51" t="str">
        <f t="shared" si="3"/>
        <v>TantalumHi-Temp</v>
      </c>
    </row>
    <row r="247" spans="1:10" ht="10.5" customHeight="1">
      <c r="A247" s="51" t="s">
        <v>2438</v>
      </c>
      <c r="B247" s="51" t="s">
        <v>3589</v>
      </c>
      <c r="C247" s="51" t="s">
        <v>3589</v>
      </c>
      <c r="D247" s="51" t="s">
        <v>1867</v>
      </c>
      <c r="E247" s="51" t="s">
        <v>1442</v>
      </c>
      <c r="F247" s="237" t="s">
        <v>3324</v>
      </c>
      <c r="H247" s="51" t="s">
        <v>3590</v>
      </c>
      <c r="I247" s="51" t="s">
        <v>3437</v>
      </c>
      <c r="J247" s="51" t="str">
        <f t="shared" si="3"/>
        <v>TantalumHi-Temp Specialty Metals, Inc.</v>
      </c>
    </row>
    <row r="248" spans="1:10" ht="10.5" customHeight="1">
      <c r="A248" s="51" t="s">
        <v>2438</v>
      </c>
      <c r="B248" s="51" t="s">
        <v>4440</v>
      </c>
      <c r="C248" s="51" t="s">
        <v>4440</v>
      </c>
      <c r="D248" s="51" t="s">
        <v>2294</v>
      </c>
      <c r="E248" s="51" t="s">
        <v>2840</v>
      </c>
      <c r="F248" s="237" t="s">
        <v>3324</v>
      </c>
      <c r="H248" s="51" t="s">
        <v>3625</v>
      </c>
      <c r="I248" s="51" t="s">
        <v>3408</v>
      </c>
      <c r="J248" s="51" t="str">
        <f t="shared" si="3"/>
        <v>TantalumJiangxi Dinghai Tantalum &amp; Niobium Co., Ltd.</v>
      </c>
    </row>
    <row r="249" spans="1:10" ht="10.5" customHeight="1">
      <c r="A249" s="51" t="s">
        <v>2438</v>
      </c>
      <c r="B249" s="51" t="s">
        <v>5</v>
      </c>
      <c r="C249" s="51" t="s">
        <v>5</v>
      </c>
      <c r="D249" s="51" t="s">
        <v>2294</v>
      </c>
      <c r="E249" s="51" t="s">
        <v>1443</v>
      </c>
      <c r="F249" s="237" t="s">
        <v>3324</v>
      </c>
      <c r="H249" s="51" t="s">
        <v>3591</v>
      </c>
      <c r="I249" s="51" t="s">
        <v>3408</v>
      </c>
      <c r="J249" s="51" t="str">
        <f t="shared" si="3"/>
        <v>TantalumJiuJiang JinXin Nonferrous Metals Co., Ltd.</v>
      </c>
    </row>
    <row r="250" spans="1:10" ht="10.5" customHeight="1">
      <c r="A250" s="51" t="s">
        <v>2438</v>
      </c>
      <c r="B250" s="51" t="s">
        <v>79</v>
      </c>
      <c r="C250" s="51" t="s">
        <v>79</v>
      </c>
      <c r="D250" s="51" t="s">
        <v>2294</v>
      </c>
      <c r="E250" s="51" t="s">
        <v>1444</v>
      </c>
      <c r="F250" s="237" t="s">
        <v>3324</v>
      </c>
      <c r="H250" s="51" t="s">
        <v>3591</v>
      </c>
      <c r="I250" s="51" t="s">
        <v>3408</v>
      </c>
      <c r="J250" s="51" t="str">
        <f t="shared" si="3"/>
        <v>TantalumJiujiang Tanbre Co., Ltd.</v>
      </c>
    </row>
    <row r="251" spans="1:10" ht="10.5" customHeight="1">
      <c r="A251" s="51" t="s">
        <v>2438</v>
      </c>
      <c r="B251" s="51" t="s">
        <v>4437</v>
      </c>
      <c r="C251" s="51" t="s">
        <v>4437</v>
      </c>
      <c r="D251" s="51" t="s">
        <v>2294</v>
      </c>
      <c r="E251" s="51" t="s">
        <v>2841</v>
      </c>
      <c r="F251" s="237" t="s">
        <v>3324</v>
      </c>
      <c r="H251" s="51" t="s">
        <v>3591</v>
      </c>
      <c r="I251" s="51" t="s">
        <v>3408</v>
      </c>
      <c r="J251" s="51" t="str">
        <f t="shared" si="3"/>
        <v>TantalumJiujiang Zhongao Tantalum &amp; Niobium Co., Ltd.</v>
      </c>
    </row>
    <row r="252" spans="1:10" ht="10.5" customHeight="1">
      <c r="A252" s="51" t="s">
        <v>2438</v>
      </c>
      <c r="B252" s="51" t="s">
        <v>2891</v>
      </c>
      <c r="C252" s="51" t="s">
        <v>2891</v>
      </c>
      <c r="D252" s="51" t="s">
        <v>2388</v>
      </c>
      <c r="E252" s="51" t="s">
        <v>2892</v>
      </c>
      <c r="F252" s="237" t="s">
        <v>3324</v>
      </c>
      <c r="H252" s="51" t="s">
        <v>3626</v>
      </c>
      <c r="I252" s="51" t="s">
        <v>3627</v>
      </c>
      <c r="J252" s="51" t="str">
        <f t="shared" si="3"/>
        <v>TantalumKEMET Blue Metals</v>
      </c>
    </row>
    <row r="253" spans="1:10" ht="10.5" customHeight="1">
      <c r="A253" s="51" t="s">
        <v>2438</v>
      </c>
      <c r="B253" s="51" t="s">
        <v>2908</v>
      </c>
      <c r="C253" s="51" t="s">
        <v>2908</v>
      </c>
      <c r="D253" s="51" t="s">
        <v>1867</v>
      </c>
      <c r="E253" s="51" t="s">
        <v>2909</v>
      </c>
      <c r="F253" s="237" t="s">
        <v>3324</v>
      </c>
      <c r="H253" s="51" t="s">
        <v>3644</v>
      </c>
      <c r="I253" s="51" t="s">
        <v>3645</v>
      </c>
      <c r="J253" s="51" t="str">
        <f t="shared" si="3"/>
        <v>TantalumKEMET Blue Powder</v>
      </c>
    </row>
    <row r="254" spans="1:10" ht="10.5" customHeight="1">
      <c r="A254" s="51" t="s">
        <v>2438</v>
      </c>
      <c r="B254" s="51" t="s">
        <v>4405</v>
      </c>
      <c r="C254" s="51" t="s">
        <v>4405</v>
      </c>
      <c r="D254" s="51" t="s">
        <v>2294</v>
      </c>
      <c r="E254" s="51" t="s">
        <v>1445</v>
      </c>
      <c r="F254" s="237" t="s">
        <v>3324</v>
      </c>
      <c r="H254" s="51" t="s">
        <v>3592</v>
      </c>
      <c r="I254" s="51" t="s">
        <v>3408</v>
      </c>
      <c r="J254" s="51" t="str">
        <f t="shared" si="3"/>
        <v>TantalumKing-Tan Tantalum Industry Ltd.</v>
      </c>
    </row>
    <row r="255" spans="1:10" ht="10.5" customHeight="1">
      <c r="A255" s="51" t="s">
        <v>2438</v>
      </c>
      <c r="B255" s="51" t="s">
        <v>80</v>
      </c>
      <c r="C255" s="51" t="s">
        <v>80</v>
      </c>
      <c r="D255" s="51" t="s">
        <v>2283</v>
      </c>
      <c r="E255" s="51" t="s">
        <v>1446</v>
      </c>
      <c r="F255" s="237" t="s">
        <v>3324</v>
      </c>
      <c r="H255" s="51" t="s">
        <v>3593</v>
      </c>
      <c r="I255" s="51" t="s">
        <v>3337</v>
      </c>
      <c r="J255" s="51" t="str">
        <f t="shared" si="3"/>
        <v>TantalumLSM Brasil S.A.</v>
      </c>
    </row>
    <row r="256" spans="1:10" ht="10.5" customHeight="1">
      <c r="A256" s="51" t="s">
        <v>2438</v>
      </c>
      <c r="B256" s="51" t="s">
        <v>3596</v>
      </c>
      <c r="C256" s="51" t="s">
        <v>4412</v>
      </c>
      <c r="D256" s="51" t="s">
        <v>2352</v>
      </c>
      <c r="E256" s="51" t="s">
        <v>1447</v>
      </c>
      <c r="F256" s="237" t="s">
        <v>3324</v>
      </c>
      <c r="H256" s="51" t="s">
        <v>3594</v>
      </c>
      <c r="I256" s="51" t="s">
        <v>3595</v>
      </c>
      <c r="J256" s="51" t="str">
        <f t="shared" si="3"/>
        <v>TantalumMetallurgical Products India Pvt. Ltd. (MPIL)</v>
      </c>
    </row>
    <row r="257" spans="1:10" ht="10.5" customHeight="1">
      <c r="A257" s="51" t="s">
        <v>2438</v>
      </c>
      <c r="B257" s="51" t="s">
        <v>4412</v>
      </c>
      <c r="C257" s="51" t="s">
        <v>4412</v>
      </c>
      <c r="D257" s="51" t="s">
        <v>2352</v>
      </c>
      <c r="E257" s="51" t="s">
        <v>1447</v>
      </c>
      <c r="F257" s="237" t="s">
        <v>3324</v>
      </c>
      <c r="H257" s="51" t="s">
        <v>3594</v>
      </c>
      <c r="I257" s="51" t="s">
        <v>3595</v>
      </c>
      <c r="J257" s="51" t="str">
        <f t="shared" si="3"/>
        <v>TantalumMetallurgical Products India Pvt., Ltd.</v>
      </c>
    </row>
    <row r="258" spans="1:10" ht="10.5" customHeight="1">
      <c r="A258" s="51" t="s">
        <v>2438</v>
      </c>
      <c r="B258" s="51" t="s">
        <v>2064</v>
      </c>
      <c r="C258" s="51" t="s">
        <v>2064</v>
      </c>
      <c r="D258" s="51" t="s">
        <v>2283</v>
      </c>
      <c r="E258" s="51" t="s">
        <v>1448</v>
      </c>
      <c r="F258" s="237" t="s">
        <v>3324</v>
      </c>
      <c r="H258" s="51" t="s">
        <v>3597</v>
      </c>
      <c r="I258" s="51" t="s">
        <v>3598</v>
      </c>
      <c r="J258" s="51" t="str">
        <f t="shared" si="3"/>
        <v>TantalumMineração Taboca S.A.</v>
      </c>
    </row>
    <row r="259" spans="1:10" ht="10.5" customHeight="1">
      <c r="A259" s="51" t="s">
        <v>2438</v>
      </c>
      <c r="B259" s="51" t="s">
        <v>2421</v>
      </c>
      <c r="C259" s="51" t="s">
        <v>2421</v>
      </c>
      <c r="D259" s="51" t="s">
        <v>2362</v>
      </c>
      <c r="E259" s="51" t="s">
        <v>1449</v>
      </c>
      <c r="F259" s="237" t="s">
        <v>3324</v>
      </c>
      <c r="H259" s="51" t="s">
        <v>3599</v>
      </c>
      <c r="I259" s="51" t="s">
        <v>3600</v>
      </c>
      <c r="J259" s="51" t="str">
        <f t="shared" si="3"/>
        <v>TantalumMitsui Mining &amp; Smelting</v>
      </c>
    </row>
    <row r="260" spans="1:10" ht="10.5" customHeight="1">
      <c r="A260" s="51" t="s">
        <v>2438</v>
      </c>
      <c r="B260" s="51" t="s">
        <v>81</v>
      </c>
      <c r="C260" s="51" t="s">
        <v>81</v>
      </c>
      <c r="D260" s="51" t="s">
        <v>2319</v>
      </c>
      <c r="E260" s="51" t="s">
        <v>1450</v>
      </c>
      <c r="F260" s="237" t="s">
        <v>3324</v>
      </c>
      <c r="H260" s="51" t="s">
        <v>3601</v>
      </c>
      <c r="I260" s="51" t="s">
        <v>3602</v>
      </c>
      <c r="J260" s="51" t="str">
        <f t="shared" si="3"/>
        <v>TantalumMolycorp Silmet A.S.</v>
      </c>
    </row>
    <row r="261" spans="1:10" ht="10.5" customHeight="1">
      <c r="A261" s="51" t="s">
        <v>2438</v>
      </c>
      <c r="B261" s="51" t="s">
        <v>2060</v>
      </c>
      <c r="C261" s="51" t="s">
        <v>2060</v>
      </c>
      <c r="D261" s="51" t="s">
        <v>2294</v>
      </c>
      <c r="E261" s="51" t="s">
        <v>1451</v>
      </c>
      <c r="F261" s="237" t="s">
        <v>3324</v>
      </c>
      <c r="H261" s="51" t="s">
        <v>3603</v>
      </c>
      <c r="I261" s="51" t="s">
        <v>3604</v>
      </c>
      <c r="J261" s="51" t="str">
        <f t="shared" si="3"/>
        <v>TantalumNingxia Orient Tantalum Industry Co., Ltd.</v>
      </c>
    </row>
    <row r="262" spans="1:10" ht="10.5" customHeight="1">
      <c r="A262" s="51" t="s">
        <v>2438</v>
      </c>
      <c r="B262" s="51" t="s">
        <v>2893</v>
      </c>
      <c r="C262" s="51" t="s">
        <v>2893</v>
      </c>
      <c r="D262" s="51" t="s">
        <v>2268</v>
      </c>
      <c r="E262" s="51" t="s">
        <v>2894</v>
      </c>
      <c r="F262" s="237" t="s">
        <v>3324</v>
      </c>
      <c r="H262" s="51" t="s">
        <v>3628</v>
      </c>
      <c r="I262" s="51" t="s">
        <v>3629</v>
      </c>
      <c r="J262" s="51" t="str">
        <f t="shared" si="3"/>
        <v>TantalumPlansee SE Liezen</v>
      </c>
    </row>
    <row r="263" spans="1:10" ht="10.5" customHeight="1">
      <c r="A263" s="51" t="s">
        <v>2438</v>
      </c>
      <c r="B263" s="51" t="s">
        <v>2895</v>
      </c>
      <c r="C263" s="51" t="s">
        <v>2895</v>
      </c>
      <c r="D263" s="51" t="s">
        <v>2268</v>
      </c>
      <c r="E263" s="51" t="s">
        <v>2896</v>
      </c>
      <c r="F263" s="237" t="s">
        <v>3324</v>
      </c>
      <c r="H263" s="51" t="s">
        <v>3640</v>
      </c>
      <c r="I263" s="51" t="s">
        <v>3641</v>
      </c>
      <c r="J263" s="51" t="str">
        <f t="shared" si="3"/>
        <v>TantalumPlansee SE Reutte</v>
      </c>
    </row>
    <row r="264" spans="1:10" ht="10.5" customHeight="1">
      <c r="A264" s="51" t="s">
        <v>2438</v>
      </c>
      <c r="B264" s="51" t="s">
        <v>1572</v>
      </c>
      <c r="C264" s="51" t="s">
        <v>1572</v>
      </c>
      <c r="D264" s="51" t="s">
        <v>1867</v>
      </c>
      <c r="E264" s="51" t="s">
        <v>1452</v>
      </c>
      <c r="F264" s="237" t="s">
        <v>3324</v>
      </c>
      <c r="H264" s="51" t="s">
        <v>3605</v>
      </c>
      <c r="I264" s="51" t="s">
        <v>3606</v>
      </c>
      <c r="J264" s="51" t="str">
        <f t="shared" si="3"/>
        <v>TantalumQuantumClean</v>
      </c>
    </row>
    <row r="265" spans="1:10" ht="10.5" customHeight="1">
      <c r="A265" s="51" t="s">
        <v>2438</v>
      </c>
      <c r="B265" s="51" t="s">
        <v>4549</v>
      </c>
      <c r="C265" s="51" t="s">
        <v>4549</v>
      </c>
      <c r="D265" s="51" t="s">
        <v>2283</v>
      </c>
      <c r="E265" s="51" t="s">
        <v>3649</v>
      </c>
      <c r="F265" s="237" t="s">
        <v>3324</v>
      </c>
      <c r="H265" s="51" t="s">
        <v>3593</v>
      </c>
      <c r="I265" s="51" t="s">
        <v>3650</v>
      </c>
      <c r="J265" s="51" t="str">
        <f t="shared" ref="J265:J327" si="4">A265&amp;B265</f>
        <v>TantalumResind Indústria e Comércio Ltda.</v>
      </c>
    </row>
    <row r="266" spans="1:10" ht="10.5" customHeight="1">
      <c r="A266" s="51" t="s">
        <v>2438</v>
      </c>
      <c r="B266" s="51" t="s">
        <v>2424</v>
      </c>
      <c r="C266" s="51" t="s">
        <v>4420</v>
      </c>
      <c r="D266" s="51" t="s">
        <v>2294</v>
      </c>
      <c r="E266" s="51" t="s">
        <v>1453</v>
      </c>
      <c r="F266" s="237" t="s">
        <v>3324</v>
      </c>
      <c r="H266" s="51" t="s">
        <v>3607</v>
      </c>
      <c r="I266" s="51" t="s">
        <v>3390</v>
      </c>
      <c r="J266" s="51" t="str">
        <f t="shared" si="4"/>
        <v>TantalumRFH</v>
      </c>
    </row>
    <row r="267" spans="1:10" ht="10.5" customHeight="1">
      <c r="A267" s="51" t="s">
        <v>2438</v>
      </c>
      <c r="B267" s="51" t="s">
        <v>66</v>
      </c>
      <c r="C267" s="51" t="s">
        <v>4420</v>
      </c>
      <c r="D267" s="51" t="s">
        <v>2294</v>
      </c>
      <c r="E267" s="51" t="s">
        <v>1453</v>
      </c>
      <c r="F267" s="237" t="s">
        <v>3324</v>
      </c>
      <c r="H267" s="51" t="s">
        <v>3607</v>
      </c>
      <c r="I267" s="51" t="s">
        <v>3390</v>
      </c>
      <c r="J267" s="51" t="str">
        <f t="shared" si="4"/>
        <v>TantalumRFH (Yanling Jincheng Tantalum &amp; Niobium Co., Ltd)</v>
      </c>
    </row>
    <row r="268" spans="1:10" ht="10.5" customHeight="1">
      <c r="A268" s="51" t="s">
        <v>2438</v>
      </c>
      <c r="B268" s="51" t="s">
        <v>4420</v>
      </c>
      <c r="C268" s="51" t="s">
        <v>4420</v>
      </c>
      <c r="D268" s="51" t="s">
        <v>2294</v>
      </c>
      <c r="E268" s="51" t="s">
        <v>1453</v>
      </c>
      <c r="F268" s="237" t="s">
        <v>3324</v>
      </c>
      <c r="H268" s="51" t="s">
        <v>3607</v>
      </c>
      <c r="I268" s="51" t="s">
        <v>3390</v>
      </c>
      <c r="J268" s="51" t="str">
        <f t="shared" si="4"/>
        <v>TantalumRFH Tantalum Smeltry Co., Ltd.</v>
      </c>
    </row>
    <row r="269" spans="1:10" ht="10.5" customHeight="1">
      <c r="A269" s="51" t="s">
        <v>2438</v>
      </c>
      <c r="B269" s="51" t="s">
        <v>3608</v>
      </c>
      <c r="C269" s="51" t="s">
        <v>2793</v>
      </c>
      <c r="D269" s="51" t="s">
        <v>1825</v>
      </c>
      <c r="E269" s="51" t="s">
        <v>1454</v>
      </c>
      <c r="F269" s="237" t="s">
        <v>3324</v>
      </c>
      <c r="H269" s="51" t="s">
        <v>3608</v>
      </c>
      <c r="I269" s="51" t="s">
        <v>3609</v>
      </c>
      <c r="J269" s="51" t="str">
        <f t="shared" si="4"/>
        <v>TantalumSolikamsk</v>
      </c>
    </row>
    <row r="270" spans="1:10" ht="10.5" customHeight="1">
      <c r="A270" s="51" t="s">
        <v>2438</v>
      </c>
      <c r="B270" s="51" t="s">
        <v>2793</v>
      </c>
      <c r="C270" s="51" t="s">
        <v>2793</v>
      </c>
      <c r="D270" s="51" t="s">
        <v>1825</v>
      </c>
      <c r="E270" s="51" t="s">
        <v>1454</v>
      </c>
      <c r="F270" s="237" t="s">
        <v>3324</v>
      </c>
      <c r="H270" s="51" t="s">
        <v>3608</v>
      </c>
      <c r="I270" s="51" t="s">
        <v>3609</v>
      </c>
      <c r="J270" s="51" t="str">
        <f t="shared" si="4"/>
        <v>TantalumSolikamsk Magnesium Works OAO</v>
      </c>
    </row>
    <row r="271" spans="1:10" ht="10.5" customHeight="1">
      <c r="A271" s="51" t="s">
        <v>2438</v>
      </c>
      <c r="B271" s="51" t="s">
        <v>2422</v>
      </c>
      <c r="C271" s="51" t="s">
        <v>2793</v>
      </c>
      <c r="D271" s="51" t="s">
        <v>1825</v>
      </c>
      <c r="E271" s="51" t="s">
        <v>1454</v>
      </c>
      <c r="F271" s="237" t="s">
        <v>3324</v>
      </c>
      <c r="H271" s="51" t="s">
        <v>3608</v>
      </c>
      <c r="I271" s="51" t="s">
        <v>3609</v>
      </c>
      <c r="J271" s="51" t="str">
        <f t="shared" si="4"/>
        <v>TantalumSolikamsk Metal Works</v>
      </c>
    </row>
    <row r="272" spans="1:10" ht="10.5" customHeight="1">
      <c r="A272" s="51" t="s">
        <v>2438</v>
      </c>
      <c r="B272" s="51" t="s">
        <v>1573</v>
      </c>
      <c r="C272" s="51" t="s">
        <v>1573</v>
      </c>
      <c r="D272" s="51" t="s">
        <v>2362</v>
      </c>
      <c r="E272" s="51" t="s">
        <v>1455</v>
      </c>
      <c r="F272" s="237" t="s">
        <v>3324</v>
      </c>
      <c r="H272" s="51" t="s">
        <v>3610</v>
      </c>
      <c r="I272" s="51" t="s">
        <v>3341</v>
      </c>
      <c r="J272" s="51" t="str">
        <f t="shared" si="4"/>
        <v>TantalumTaki Chemicals</v>
      </c>
    </row>
    <row r="273" spans="1:10" ht="10.5" customHeight="1">
      <c r="A273" s="51" t="s">
        <v>2438</v>
      </c>
      <c r="B273" s="51" t="s">
        <v>3611</v>
      </c>
      <c r="C273" s="51" t="s">
        <v>3611</v>
      </c>
      <c r="D273" s="51" t="s">
        <v>1867</v>
      </c>
      <c r="E273" s="51" t="s">
        <v>1456</v>
      </c>
      <c r="F273" s="237" t="s">
        <v>3324</v>
      </c>
      <c r="H273" s="51" t="s">
        <v>3612</v>
      </c>
      <c r="I273" s="51" t="s">
        <v>3613</v>
      </c>
      <c r="J273" s="51" t="str">
        <f t="shared" si="4"/>
        <v>TantalumTelex Metals</v>
      </c>
    </row>
    <row r="274" spans="1:10" ht="10.5" customHeight="1">
      <c r="A274" s="51" t="s">
        <v>2438</v>
      </c>
      <c r="B274" s="51" t="s">
        <v>3646</v>
      </c>
      <c r="C274" s="51" t="s">
        <v>3646</v>
      </c>
      <c r="D274" s="51" t="s">
        <v>1867</v>
      </c>
      <c r="E274" s="51" t="s">
        <v>3647</v>
      </c>
      <c r="F274" s="237" t="s">
        <v>3324</v>
      </c>
      <c r="H274" s="51" t="s">
        <v>3648</v>
      </c>
      <c r="I274" s="51" t="s">
        <v>3613</v>
      </c>
      <c r="J274" s="51" t="str">
        <f t="shared" si="4"/>
        <v>TantalumTranzact, Inc.</v>
      </c>
    </row>
    <row r="275" spans="1:10" ht="10.5" customHeight="1">
      <c r="A275" s="51" t="s">
        <v>2438</v>
      </c>
      <c r="B275" s="51" t="s">
        <v>1893</v>
      </c>
      <c r="C275" s="51" t="s">
        <v>3614</v>
      </c>
      <c r="D275" s="51" t="s">
        <v>2363</v>
      </c>
      <c r="E275" s="51" t="s">
        <v>1457</v>
      </c>
      <c r="F275" s="237" t="s">
        <v>3324</v>
      </c>
      <c r="H275" s="51" t="s">
        <v>3419</v>
      </c>
      <c r="I275" s="51" t="s">
        <v>3615</v>
      </c>
      <c r="J275" s="51" t="str">
        <f t="shared" si="4"/>
        <v>TantalumUlba</v>
      </c>
    </row>
    <row r="276" spans="1:10" ht="10.5" customHeight="1">
      <c r="A276" s="51" t="s">
        <v>2438</v>
      </c>
      <c r="B276" s="51" t="s">
        <v>3614</v>
      </c>
      <c r="C276" s="51" t="s">
        <v>3614</v>
      </c>
      <c r="D276" s="51" t="s">
        <v>2363</v>
      </c>
      <c r="E276" s="51" t="s">
        <v>1457</v>
      </c>
      <c r="F276" s="237" t="s">
        <v>3324</v>
      </c>
      <c r="H276" s="51" t="s">
        <v>3419</v>
      </c>
      <c r="I276" s="51" t="s">
        <v>3615</v>
      </c>
      <c r="J276" s="51" t="str">
        <f t="shared" si="4"/>
        <v>TantalumUlba Metallurgical Plant JSC</v>
      </c>
    </row>
    <row r="277" spans="1:10" ht="10.5" customHeight="1">
      <c r="A277" s="51" t="s">
        <v>2438</v>
      </c>
      <c r="B277" s="51" t="s">
        <v>4438</v>
      </c>
      <c r="C277" s="51" t="s">
        <v>4438</v>
      </c>
      <c r="D277" s="51" t="s">
        <v>2294</v>
      </c>
      <c r="E277" s="51" t="s">
        <v>2843</v>
      </c>
      <c r="F277" s="237" t="s">
        <v>3324</v>
      </c>
      <c r="H277" s="51" t="s">
        <v>3624</v>
      </c>
      <c r="I277" s="51" t="s">
        <v>3545</v>
      </c>
      <c r="J277" s="51" t="str">
        <f t="shared" si="4"/>
        <v>TantalumXinXing HaoRong Electronic Material Co., Ltd.</v>
      </c>
    </row>
    <row r="278" spans="1:10" ht="10.5" customHeight="1">
      <c r="A278" s="51" t="s">
        <v>2438</v>
      </c>
      <c r="B278" s="51" t="s">
        <v>4433</v>
      </c>
      <c r="C278" s="51" t="s">
        <v>4433</v>
      </c>
      <c r="D278" s="51" t="s">
        <v>2294</v>
      </c>
      <c r="E278" s="51" t="s">
        <v>94</v>
      </c>
      <c r="F278" s="237" t="s">
        <v>3324</v>
      </c>
      <c r="H278" s="51" t="s">
        <v>3618</v>
      </c>
      <c r="I278" s="51" t="s">
        <v>3408</v>
      </c>
      <c r="J278" s="51" t="str">
        <f t="shared" si="4"/>
        <v>TantalumYichun Jin Yang Rare Metal Co., Ltd.</v>
      </c>
    </row>
    <row r="279" spans="1:10" ht="10.5" customHeight="1">
      <c r="A279" s="51" t="s">
        <v>2438</v>
      </c>
      <c r="B279" s="51" t="s">
        <v>4558</v>
      </c>
      <c r="C279" s="51" t="s">
        <v>2483</v>
      </c>
      <c r="D279" s="51" t="s">
        <v>2294</v>
      </c>
      <c r="E279" s="51" t="s">
        <v>1437</v>
      </c>
      <c r="F279" s="237" t="s">
        <v>3324</v>
      </c>
      <c r="H279" s="51" t="s">
        <v>3584</v>
      </c>
      <c r="I279" s="51" t="s">
        <v>3545</v>
      </c>
      <c r="J279" s="51" t="str">
        <f t="shared" si="4"/>
        <v>TantalumZhaoqing Duoluoshan Non-ferrous Metals Co.,Ltd</v>
      </c>
    </row>
    <row r="280" spans="1:10" ht="10.5" customHeight="1">
      <c r="A280" s="51" t="s">
        <v>2438</v>
      </c>
      <c r="B280" s="51" t="s">
        <v>4432</v>
      </c>
      <c r="C280" s="51" t="s">
        <v>4432</v>
      </c>
      <c r="D280" s="51" t="s">
        <v>2294</v>
      </c>
      <c r="E280" s="51" t="s">
        <v>1458</v>
      </c>
      <c r="F280" s="237" t="s">
        <v>3324</v>
      </c>
      <c r="H280" s="51" t="s">
        <v>3607</v>
      </c>
      <c r="I280" s="51" t="s">
        <v>3390</v>
      </c>
      <c r="J280" s="51" t="str">
        <f t="shared" si="4"/>
        <v>TantalumZhuzhou Cemented Carbide</v>
      </c>
    </row>
    <row r="281" spans="1:10" ht="10.5" customHeight="1">
      <c r="A281" s="51" t="s">
        <v>2438</v>
      </c>
      <c r="B281" s="51" t="s">
        <v>3616</v>
      </c>
      <c r="C281" s="51" t="s">
        <v>4432</v>
      </c>
      <c r="D281" s="51" t="s">
        <v>2294</v>
      </c>
      <c r="E281" s="51" t="s">
        <v>1458</v>
      </c>
      <c r="F281" s="237" t="s">
        <v>3324</v>
      </c>
      <c r="H281" s="51" t="s">
        <v>3607</v>
      </c>
      <c r="I281" s="51" t="s">
        <v>3390</v>
      </c>
      <c r="J281" s="51" t="str">
        <f t="shared" si="4"/>
        <v>TantalumZhuzhou Cemented Carbide Group</v>
      </c>
    </row>
    <row r="282" spans="1:10" ht="10.5" customHeight="1">
      <c r="A282" s="51" t="s">
        <v>2438</v>
      </c>
      <c r="B282" s="51" t="s">
        <v>3617</v>
      </c>
      <c r="C282" s="51" t="s">
        <v>4432</v>
      </c>
      <c r="D282" s="51" t="s">
        <v>2294</v>
      </c>
      <c r="E282" s="51" t="s">
        <v>1458</v>
      </c>
      <c r="F282" s="237" t="s">
        <v>3324</v>
      </c>
      <c r="H282" s="51" t="s">
        <v>3607</v>
      </c>
      <c r="I282" s="51" t="s">
        <v>3390</v>
      </c>
      <c r="J282" s="51" t="str">
        <f t="shared" si="4"/>
        <v>TantalumZhuzhou Cemented Carbide Works Imp. &amp; Exp. Co.</v>
      </c>
    </row>
    <row r="283" spans="1:10" ht="10.5" customHeight="1">
      <c r="A283" s="51" t="s">
        <v>2438</v>
      </c>
      <c r="B283" s="51" t="s">
        <v>3831</v>
      </c>
      <c r="J283" s="51" t="str">
        <f t="shared" si="4"/>
        <v>TantalumSmelter not listed</v>
      </c>
    </row>
    <row r="284" spans="1:10" ht="10.5" customHeight="1">
      <c r="A284" s="51" t="s">
        <v>2437</v>
      </c>
      <c r="B284" s="51" t="s">
        <v>3659</v>
      </c>
      <c r="C284" s="51" t="s">
        <v>82</v>
      </c>
      <c r="D284" s="52" t="s">
        <v>1867</v>
      </c>
      <c r="E284" s="51" t="s">
        <v>1461</v>
      </c>
      <c r="F284" s="237" t="s">
        <v>3324</v>
      </c>
      <c r="H284" s="51" t="s">
        <v>3658</v>
      </c>
      <c r="I284" s="51" t="s">
        <v>3613</v>
      </c>
      <c r="J284" s="51" t="str">
        <f t="shared" si="4"/>
        <v>TinAlent plc</v>
      </c>
    </row>
    <row r="285" spans="1:10" ht="10.5" customHeight="1">
      <c r="A285" s="51" t="s">
        <v>2437</v>
      </c>
      <c r="B285" s="52" t="s">
        <v>82</v>
      </c>
      <c r="C285" s="52" t="s">
        <v>82</v>
      </c>
      <c r="D285" s="52" t="s">
        <v>1867</v>
      </c>
      <c r="E285" s="51" t="s">
        <v>1461</v>
      </c>
      <c r="F285" s="237" t="s">
        <v>3324</v>
      </c>
      <c r="H285" s="51" t="s">
        <v>3658</v>
      </c>
      <c r="I285" s="51" t="s">
        <v>3613</v>
      </c>
      <c r="J285" s="51" t="str">
        <f t="shared" si="4"/>
        <v>TinAlpha</v>
      </c>
    </row>
    <row r="286" spans="1:10" ht="10.5" customHeight="1">
      <c r="A286" s="51" t="s">
        <v>2437</v>
      </c>
      <c r="B286" s="51" t="s">
        <v>3661</v>
      </c>
      <c r="C286" s="51" t="s">
        <v>82</v>
      </c>
      <c r="D286" s="52" t="s">
        <v>1867</v>
      </c>
      <c r="E286" s="51" t="s">
        <v>1461</v>
      </c>
      <c r="F286" s="237" t="s">
        <v>3324</v>
      </c>
      <c r="H286" s="51" t="s">
        <v>3658</v>
      </c>
      <c r="I286" s="51" t="s">
        <v>3613</v>
      </c>
      <c r="J286" s="51" t="str">
        <f t="shared" si="4"/>
        <v>TinAlpha Metals</v>
      </c>
    </row>
    <row r="287" spans="1:10" ht="10.5" customHeight="1">
      <c r="A287" s="51" t="s">
        <v>2437</v>
      </c>
      <c r="B287" s="51" t="s">
        <v>4559</v>
      </c>
      <c r="C287" s="51" t="s">
        <v>82</v>
      </c>
      <c r="D287" s="52" t="s">
        <v>1867</v>
      </c>
      <c r="E287" s="51" t="s">
        <v>1461</v>
      </c>
      <c r="F287" s="237" t="s">
        <v>3324</v>
      </c>
      <c r="H287" s="51" t="s">
        <v>3658</v>
      </c>
      <c r="I287" s="51" t="s">
        <v>3613</v>
      </c>
      <c r="J287" s="51" t="str">
        <f t="shared" si="4"/>
        <v>TinAlpha Metals Korea Ltd.</v>
      </c>
    </row>
    <row r="288" spans="1:10" ht="10.5" customHeight="1">
      <c r="A288" s="51" t="s">
        <v>2437</v>
      </c>
      <c r="B288" s="51" t="s">
        <v>3660</v>
      </c>
      <c r="C288" s="51" t="s">
        <v>82</v>
      </c>
      <c r="D288" s="52" t="s">
        <v>1867</v>
      </c>
      <c r="E288" s="51" t="s">
        <v>1461</v>
      </c>
      <c r="F288" s="237" t="s">
        <v>3324</v>
      </c>
      <c r="H288" s="51" t="s">
        <v>3658</v>
      </c>
      <c r="I288" s="51" t="s">
        <v>3613</v>
      </c>
      <c r="J288" s="51" t="str">
        <f t="shared" si="4"/>
        <v>TinAlpha Metals Taiwan</v>
      </c>
    </row>
    <row r="289" spans="1:10" ht="10.5" customHeight="1">
      <c r="A289" s="51" t="s">
        <v>2437</v>
      </c>
      <c r="B289" s="303" t="s">
        <v>4589</v>
      </c>
      <c r="C289" s="303" t="s">
        <v>4589</v>
      </c>
      <c r="D289" s="303" t="s">
        <v>1874</v>
      </c>
      <c r="E289" s="303" t="s">
        <v>4590</v>
      </c>
      <c r="F289" s="237" t="s">
        <v>3324</v>
      </c>
      <c r="H289" s="51" t="s">
        <v>3761</v>
      </c>
      <c r="I289" s="51" t="s">
        <v>3762</v>
      </c>
      <c r="J289" s="51" t="str">
        <f t="shared" si="4"/>
        <v>TinAn Thai Minerals Company Limited</v>
      </c>
    </row>
    <row r="290" spans="1:10" ht="10.5" customHeight="1">
      <c r="A290" s="51" t="s">
        <v>2437</v>
      </c>
      <c r="B290" s="51" t="s">
        <v>4388</v>
      </c>
      <c r="C290" s="51" t="s">
        <v>4388</v>
      </c>
      <c r="D290" s="51" t="s">
        <v>1874</v>
      </c>
      <c r="E290" s="51" t="s">
        <v>4389</v>
      </c>
      <c r="F290" s="237" t="s">
        <v>3324</v>
      </c>
      <c r="H290" s="51" t="s">
        <v>3761</v>
      </c>
      <c r="I290" s="51" t="s">
        <v>3762</v>
      </c>
      <c r="J290" s="51" t="str">
        <f t="shared" si="4"/>
        <v>TinAn Vinh Joint Stock Mineral Processing Company</v>
      </c>
    </row>
    <row r="291" spans="1:10" ht="10.5" customHeight="1">
      <c r="A291" s="51" t="s">
        <v>2437</v>
      </c>
      <c r="B291" s="51" t="s">
        <v>3716</v>
      </c>
      <c r="C291" s="51" t="s">
        <v>2809</v>
      </c>
      <c r="D291" s="51" t="s">
        <v>2351</v>
      </c>
      <c r="E291" s="51" t="s">
        <v>2810</v>
      </c>
      <c r="F291" s="237" t="s">
        <v>3324</v>
      </c>
      <c r="H291" s="51" t="s">
        <v>3668</v>
      </c>
      <c r="I291" s="51" t="s">
        <v>3669</v>
      </c>
      <c r="J291" s="51" t="str">
        <f t="shared" si="4"/>
        <v>TinBML</v>
      </c>
    </row>
    <row r="292" spans="1:10" ht="10.5" customHeight="1">
      <c r="A292" s="51" t="s">
        <v>2437</v>
      </c>
      <c r="B292" s="51" t="s">
        <v>67</v>
      </c>
      <c r="C292" s="51" t="s">
        <v>1282</v>
      </c>
      <c r="D292" s="51" t="s">
        <v>2351</v>
      </c>
      <c r="E292" s="51" t="s">
        <v>1488</v>
      </c>
      <c r="F292" s="237" t="s">
        <v>3324</v>
      </c>
      <c r="H292" s="51" t="s">
        <v>3672</v>
      </c>
      <c r="I292" s="51" t="s">
        <v>3669</v>
      </c>
      <c r="J292" s="51" t="str">
        <f t="shared" si="4"/>
        <v>TinBrand IMLI</v>
      </c>
    </row>
    <row r="293" spans="1:10" ht="10.5" customHeight="1">
      <c r="A293" s="51" t="s">
        <v>2437</v>
      </c>
      <c r="B293" s="51" t="s">
        <v>3721</v>
      </c>
      <c r="C293" s="51" t="s">
        <v>4417</v>
      </c>
      <c r="D293" s="51" t="s">
        <v>2351</v>
      </c>
      <c r="E293" s="51" t="s">
        <v>1495</v>
      </c>
      <c r="F293" s="237" t="s">
        <v>3324</v>
      </c>
      <c r="H293" s="51" t="s">
        <v>3668</v>
      </c>
      <c r="I293" s="51" t="s">
        <v>3669</v>
      </c>
      <c r="J293" s="51" t="str">
        <f t="shared" si="4"/>
        <v>TinBrand RBT</v>
      </c>
    </row>
    <row r="294" spans="1:10" ht="10.5" customHeight="1">
      <c r="A294" s="51" t="s">
        <v>2437</v>
      </c>
      <c r="B294" s="51" t="s">
        <v>4560</v>
      </c>
      <c r="C294" s="51" t="s">
        <v>4431</v>
      </c>
      <c r="D294" s="51" t="s">
        <v>2294</v>
      </c>
      <c r="E294" s="51" t="s">
        <v>1505</v>
      </c>
      <c r="F294" s="237" t="s">
        <v>3324</v>
      </c>
      <c r="H294" s="51" t="s">
        <v>3685</v>
      </c>
      <c r="I294" s="51" t="s">
        <v>3364</v>
      </c>
      <c r="J294" s="51" t="str">
        <f t="shared" si="4"/>
        <v>TinChengfeng Metals Co Pte Ltd</v>
      </c>
    </row>
    <row r="295" spans="1:10" ht="10.5" customHeight="1">
      <c r="A295" s="51" t="s">
        <v>2437</v>
      </c>
      <c r="B295" s="51" t="s">
        <v>4561</v>
      </c>
      <c r="C295" s="51" t="s">
        <v>3654</v>
      </c>
      <c r="D295" s="52" t="s">
        <v>2294</v>
      </c>
      <c r="E295" s="51" t="s">
        <v>1459</v>
      </c>
      <c r="F295" s="237" t="s">
        <v>3324</v>
      </c>
      <c r="H295" s="51" t="s">
        <v>3618</v>
      </c>
      <c r="I295" s="51" t="s">
        <v>3408</v>
      </c>
      <c r="J295" s="51" t="str">
        <f t="shared" si="4"/>
        <v>TinChina Rare Metal Material Co., Ltd.</v>
      </c>
    </row>
    <row r="296" spans="1:10" ht="10.5" customHeight="1">
      <c r="A296" s="51" t="s">
        <v>2437</v>
      </c>
      <c r="B296" s="51" t="s">
        <v>4562</v>
      </c>
      <c r="C296" s="51" t="s">
        <v>2701</v>
      </c>
      <c r="D296" s="51" t="s">
        <v>2294</v>
      </c>
      <c r="E296" s="51" t="s">
        <v>1474</v>
      </c>
      <c r="F296" s="237" t="s">
        <v>3324</v>
      </c>
      <c r="H296" s="51" t="s">
        <v>3692</v>
      </c>
      <c r="I296" s="51" t="s">
        <v>3656</v>
      </c>
      <c r="J296" s="51" t="str">
        <f t="shared" si="4"/>
        <v>TinChina Tin (Hechi)</v>
      </c>
    </row>
    <row r="297" spans="1:10" ht="10.5" customHeight="1">
      <c r="A297" s="51" t="s">
        <v>2437</v>
      </c>
      <c r="B297" s="51" t="s">
        <v>2701</v>
      </c>
      <c r="C297" s="51" t="s">
        <v>2701</v>
      </c>
      <c r="D297" s="51" t="s">
        <v>2294</v>
      </c>
      <c r="E297" s="51" t="s">
        <v>1474</v>
      </c>
      <c r="F297" s="237" t="s">
        <v>3324</v>
      </c>
      <c r="H297" s="51" t="s">
        <v>3692</v>
      </c>
      <c r="I297" s="51" t="s">
        <v>3656</v>
      </c>
      <c r="J297" s="51" t="str">
        <f t="shared" si="4"/>
        <v>TinChina Tin Group Co., Ltd.</v>
      </c>
    </row>
    <row r="298" spans="1:10" ht="10.5" customHeight="1">
      <c r="A298" s="51" t="s">
        <v>2437</v>
      </c>
      <c r="B298" s="51" t="s">
        <v>4563</v>
      </c>
      <c r="C298" s="51" t="s">
        <v>2701</v>
      </c>
      <c r="D298" s="51" t="s">
        <v>2294</v>
      </c>
      <c r="E298" s="51" t="s">
        <v>1474</v>
      </c>
      <c r="F298" s="237" t="s">
        <v>3324</v>
      </c>
      <c r="H298" s="51" t="s">
        <v>3692</v>
      </c>
      <c r="I298" s="51" t="s">
        <v>3656</v>
      </c>
      <c r="J298" s="51" t="str">
        <f t="shared" si="4"/>
        <v>TinChina Tin Lai Ben Smelter Co., Ltd.</v>
      </c>
    </row>
    <row r="299" spans="1:10" ht="10.5" customHeight="1">
      <c r="A299" s="51" t="s">
        <v>2437</v>
      </c>
      <c r="B299" s="51" t="s">
        <v>68</v>
      </c>
      <c r="C299" s="51" t="s">
        <v>3746</v>
      </c>
      <c r="D299" s="51" t="s">
        <v>2294</v>
      </c>
      <c r="E299" s="51" t="s">
        <v>1506</v>
      </c>
      <c r="F299" s="237" t="s">
        <v>3324</v>
      </c>
      <c r="H299" s="51" t="s">
        <v>3683</v>
      </c>
      <c r="I299" s="51" t="s">
        <v>3364</v>
      </c>
      <c r="J299" s="51" t="str">
        <f t="shared" si="4"/>
        <v>TinChina Yunnan Tin Co Ltd.</v>
      </c>
    </row>
    <row r="300" spans="1:10" ht="10.5" customHeight="1">
      <c r="A300" s="51" t="s">
        <v>2437</v>
      </c>
      <c r="B300" s="52" t="s">
        <v>4397</v>
      </c>
      <c r="C300" s="52" t="s">
        <v>4397</v>
      </c>
      <c r="D300" s="52" t="s">
        <v>2294</v>
      </c>
      <c r="E300" s="51" t="s">
        <v>1460</v>
      </c>
      <c r="F300" s="237" t="s">
        <v>3324</v>
      </c>
      <c r="H300" s="51" t="s">
        <v>3655</v>
      </c>
      <c r="I300" s="51" t="s">
        <v>3656</v>
      </c>
      <c r="J300" s="51" t="str">
        <f t="shared" si="4"/>
        <v>TinCNMC (Guangxi) PGMA Co., Ltd.</v>
      </c>
    </row>
    <row r="301" spans="1:10" ht="10.5" customHeight="1">
      <c r="A301" s="51" t="s">
        <v>2437</v>
      </c>
      <c r="B301" s="51" t="s">
        <v>1611</v>
      </c>
      <c r="C301" s="51" t="s">
        <v>82</v>
      </c>
      <c r="D301" s="52" t="s">
        <v>1867</v>
      </c>
      <c r="E301" s="51" t="s">
        <v>1461</v>
      </c>
      <c r="F301" s="237" t="s">
        <v>3324</v>
      </c>
      <c r="H301" s="51" t="s">
        <v>3658</v>
      </c>
      <c r="I301" s="51" t="s">
        <v>3613</v>
      </c>
      <c r="J301" s="51" t="str">
        <f t="shared" si="4"/>
        <v>TinCookson</v>
      </c>
    </row>
    <row r="302" spans="1:10" ht="10.5" customHeight="1">
      <c r="A302" s="51" t="s">
        <v>2437</v>
      </c>
      <c r="B302" s="51" t="s">
        <v>3662</v>
      </c>
      <c r="C302" s="51" t="s">
        <v>82</v>
      </c>
      <c r="D302" s="52" t="s">
        <v>1867</v>
      </c>
      <c r="E302" s="51" t="s">
        <v>1461</v>
      </c>
      <c r="F302" s="237" t="s">
        <v>3324</v>
      </c>
      <c r="H302" s="51" t="s">
        <v>3658</v>
      </c>
      <c r="I302" s="51" t="s">
        <v>3613</v>
      </c>
      <c r="J302" s="51" t="str">
        <f t="shared" si="4"/>
        <v>TinCookson (Alpha Metals Taiwan)</v>
      </c>
    </row>
    <row r="303" spans="1:10" ht="10.5" customHeight="1">
      <c r="A303" s="51" t="s">
        <v>2437</v>
      </c>
      <c r="B303" s="51" t="s">
        <v>3663</v>
      </c>
      <c r="C303" s="51" t="s">
        <v>82</v>
      </c>
      <c r="D303" s="52" t="s">
        <v>1867</v>
      </c>
      <c r="E303" s="51" t="s">
        <v>1461</v>
      </c>
      <c r="F303" s="237" t="s">
        <v>3324</v>
      </c>
      <c r="H303" s="51" t="s">
        <v>3658</v>
      </c>
      <c r="I303" s="51" t="s">
        <v>3613</v>
      </c>
      <c r="J303" s="51" t="str">
        <f t="shared" si="4"/>
        <v>TinCookson Alpha Metals (Shenzhen) Co., Ltd.</v>
      </c>
    </row>
    <row r="304" spans="1:10" ht="10.5" customHeight="1">
      <c r="A304" s="51" t="s">
        <v>2437</v>
      </c>
      <c r="B304" s="51" t="s">
        <v>4391</v>
      </c>
      <c r="C304" s="52" t="s">
        <v>3664</v>
      </c>
      <c r="D304" s="52" t="s">
        <v>2283</v>
      </c>
      <c r="E304" s="51" t="s">
        <v>1462</v>
      </c>
      <c r="F304" s="237" t="s">
        <v>3324</v>
      </c>
      <c r="H304" s="51" t="s">
        <v>3665</v>
      </c>
      <c r="I304" s="51" t="s">
        <v>3666</v>
      </c>
      <c r="J304" s="51" t="str">
        <f t="shared" si="4"/>
        <v>TinCooper Santa</v>
      </c>
    </row>
    <row r="305" spans="1:10" ht="10.5" customHeight="1">
      <c r="A305" s="51" t="s">
        <v>2437</v>
      </c>
      <c r="B305" s="52" t="s">
        <v>3664</v>
      </c>
      <c r="C305" s="52" t="s">
        <v>3664</v>
      </c>
      <c r="D305" s="52" t="s">
        <v>2283</v>
      </c>
      <c r="E305" s="51" t="s">
        <v>1462</v>
      </c>
      <c r="F305" s="237" t="s">
        <v>3324</v>
      </c>
      <c r="H305" s="51" t="s">
        <v>3665</v>
      </c>
      <c r="I305" s="51" t="s">
        <v>3666</v>
      </c>
      <c r="J305" s="51" t="str">
        <f t="shared" si="4"/>
        <v>TinCooperativa Metalurgica de Rondônia Ltda.</v>
      </c>
    </row>
    <row r="306" spans="1:10" ht="10.5" customHeight="1">
      <c r="A306" s="51" t="s">
        <v>2437</v>
      </c>
      <c r="B306" s="51" t="s">
        <v>3667</v>
      </c>
      <c r="C306" s="52" t="s">
        <v>3664</v>
      </c>
      <c r="D306" s="52" t="s">
        <v>2283</v>
      </c>
      <c r="E306" s="51" t="s">
        <v>1462</v>
      </c>
      <c r="F306" s="237" t="s">
        <v>3324</v>
      </c>
      <c r="H306" s="51" t="s">
        <v>3665</v>
      </c>
      <c r="I306" s="51" t="s">
        <v>3666</v>
      </c>
      <c r="J306" s="51" t="str">
        <f t="shared" si="4"/>
        <v>TinCoopermetal</v>
      </c>
    </row>
    <row r="307" spans="1:10" ht="10.5" customHeight="1">
      <c r="A307" s="51" t="s">
        <v>2437</v>
      </c>
      <c r="B307" s="51" t="s">
        <v>3753</v>
      </c>
      <c r="C307" s="51" t="s">
        <v>3753</v>
      </c>
      <c r="D307" s="51" t="s">
        <v>2351</v>
      </c>
      <c r="E307" s="51" t="s">
        <v>3754</v>
      </c>
      <c r="F307" s="237" t="s">
        <v>3324</v>
      </c>
      <c r="H307" s="51" t="s">
        <v>3668</v>
      </c>
      <c r="I307" s="51" t="s">
        <v>3669</v>
      </c>
      <c r="J307" s="51" t="str">
        <f t="shared" si="4"/>
        <v>TinCV Ayi Jaya</v>
      </c>
    </row>
    <row r="308" spans="1:10" ht="10.5" customHeight="1">
      <c r="A308" s="51" t="s">
        <v>2437</v>
      </c>
      <c r="B308" s="52" t="s">
        <v>2799</v>
      </c>
      <c r="C308" s="52" t="s">
        <v>2799</v>
      </c>
      <c r="D308" s="52" t="s">
        <v>2351</v>
      </c>
      <c r="E308" s="51" t="s">
        <v>2800</v>
      </c>
      <c r="F308" s="237" t="s">
        <v>3324</v>
      </c>
      <c r="H308" s="51" t="s">
        <v>3668</v>
      </c>
      <c r="I308" s="51" t="s">
        <v>3669</v>
      </c>
      <c r="J308" s="51" t="str">
        <f t="shared" si="4"/>
        <v>TinCV Gita Pesona</v>
      </c>
    </row>
    <row r="309" spans="1:10" ht="10.5" customHeight="1">
      <c r="A309" s="51" t="s">
        <v>2437</v>
      </c>
      <c r="B309" s="51" t="s">
        <v>4564</v>
      </c>
      <c r="C309" s="51" t="s">
        <v>4501</v>
      </c>
      <c r="D309" s="52" t="s">
        <v>2351</v>
      </c>
      <c r="E309" s="51" t="s">
        <v>2801</v>
      </c>
      <c r="F309" s="237" t="s">
        <v>3324</v>
      </c>
      <c r="H309" s="51" t="s">
        <v>3670</v>
      </c>
      <c r="I309" s="51" t="s">
        <v>3669</v>
      </c>
      <c r="J309" s="51" t="str">
        <f t="shared" si="4"/>
        <v>TinCV Justindo</v>
      </c>
    </row>
    <row r="310" spans="1:10" ht="10.5" customHeight="1">
      <c r="A310" s="51" t="s">
        <v>2437</v>
      </c>
      <c r="B310" s="51" t="s">
        <v>4390</v>
      </c>
      <c r="C310" s="51" t="s">
        <v>4543</v>
      </c>
      <c r="D310" s="52" t="s">
        <v>2351</v>
      </c>
      <c r="E310" s="51" t="s">
        <v>2802</v>
      </c>
      <c r="F310" s="237" t="s">
        <v>3324</v>
      </c>
      <c r="H310" s="51" t="s">
        <v>3670</v>
      </c>
      <c r="I310" s="51" t="s">
        <v>3669</v>
      </c>
      <c r="J310" s="51" t="str">
        <f t="shared" si="4"/>
        <v>TinCV Nurjanah</v>
      </c>
    </row>
    <row r="311" spans="1:10" ht="10.5" customHeight="1">
      <c r="A311" s="51" t="s">
        <v>2437</v>
      </c>
      <c r="B311" s="52" t="s">
        <v>1612</v>
      </c>
      <c r="C311" s="52" t="s">
        <v>1612</v>
      </c>
      <c r="D311" s="52" t="s">
        <v>2351</v>
      </c>
      <c r="E311" s="51" t="s">
        <v>1463</v>
      </c>
      <c r="F311" s="237" t="s">
        <v>3324</v>
      </c>
      <c r="H311" s="51" t="s">
        <v>3671</v>
      </c>
      <c r="I311" s="51" t="s">
        <v>3669</v>
      </c>
      <c r="J311" s="51" t="str">
        <f t="shared" si="4"/>
        <v>TinCV Serumpun Sebalai</v>
      </c>
    </row>
    <row r="312" spans="1:10" ht="10.5" customHeight="1">
      <c r="A312" s="51" t="s">
        <v>2437</v>
      </c>
      <c r="B312" s="52" t="s">
        <v>1613</v>
      </c>
      <c r="C312" s="52" t="s">
        <v>1613</v>
      </c>
      <c r="D312" s="54" t="s">
        <v>2351</v>
      </c>
      <c r="E312" s="51" t="s">
        <v>1464</v>
      </c>
      <c r="F312" s="237" t="s">
        <v>3324</v>
      </c>
      <c r="H312" s="51" t="s">
        <v>1578</v>
      </c>
      <c r="I312" s="51" t="s">
        <v>3672</v>
      </c>
      <c r="J312" s="51" t="str">
        <f t="shared" si="4"/>
        <v>TinCV United Smelting</v>
      </c>
    </row>
    <row r="313" spans="1:10" ht="10.5" customHeight="1">
      <c r="A313" s="51" t="s">
        <v>2437</v>
      </c>
      <c r="B313" s="51" t="s">
        <v>2844</v>
      </c>
      <c r="C313" s="51" t="s">
        <v>2844</v>
      </c>
      <c r="D313" s="51" t="s">
        <v>2351</v>
      </c>
      <c r="E313" s="51" t="s">
        <v>2845</v>
      </c>
      <c r="F313" s="237" t="s">
        <v>3324</v>
      </c>
      <c r="H313" s="51" t="s">
        <v>3672</v>
      </c>
      <c r="I313" s="51" t="s">
        <v>3669</v>
      </c>
      <c r="J313" s="51" t="str">
        <f t="shared" si="4"/>
        <v>TinCV Venus Inti Perkasa</v>
      </c>
    </row>
    <row r="314" spans="1:10" ht="10.5" customHeight="1">
      <c r="A314" s="51" t="s">
        <v>2437</v>
      </c>
      <c r="B314" s="51" t="s">
        <v>1897</v>
      </c>
      <c r="C314" s="51" t="s">
        <v>1897</v>
      </c>
      <c r="D314" s="51" t="s">
        <v>2362</v>
      </c>
      <c r="E314" s="51" t="s">
        <v>2872</v>
      </c>
      <c r="F314" s="237" t="s">
        <v>3324</v>
      </c>
      <c r="H314" s="51" t="s">
        <v>3376</v>
      </c>
      <c r="I314" s="51" t="s">
        <v>3377</v>
      </c>
      <c r="J314" s="51" t="str">
        <f t="shared" si="4"/>
        <v>TinDowa</v>
      </c>
    </row>
    <row r="315" spans="1:10" ht="10.5" customHeight="1">
      <c r="A315" s="51" t="s">
        <v>2437</v>
      </c>
      <c r="B315" s="51" t="s">
        <v>3673</v>
      </c>
      <c r="C315" s="51" t="s">
        <v>1897</v>
      </c>
      <c r="D315" s="51" t="s">
        <v>2362</v>
      </c>
      <c r="E315" s="51" t="s">
        <v>2872</v>
      </c>
      <c r="F315" s="237" t="s">
        <v>3324</v>
      </c>
      <c r="H315" s="51" t="s">
        <v>3376</v>
      </c>
      <c r="I315" s="51" t="s">
        <v>3377</v>
      </c>
      <c r="J315" s="51" t="str">
        <f t="shared" si="4"/>
        <v>TinDowa Metaltech Co., Ltd.</v>
      </c>
    </row>
    <row r="316" spans="1:10" ht="10.5" customHeight="1">
      <c r="A316" s="51" t="s">
        <v>2437</v>
      </c>
      <c r="B316" s="51" t="s">
        <v>3755</v>
      </c>
      <c r="C316" s="51" t="s">
        <v>3755</v>
      </c>
      <c r="D316" s="51" t="s">
        <v>1874</v>
      </c>
      <c r="E316" s="51" t="s">
        <v>3756</v>
      </c>
      <c r="F316" s="237" t="s">
        <v>3324</v>
      </c>
      <c r="H316" s="51" t="s">
        <v>3757</v>
      </c>
      <c r="I316" s="51" t="s">
        <v>3758</v>
      </c>
      <c r="J316" s="51" t="str">
        <f t="shared" si="4"/>
        <v>TinElectro-Mechanical Facility of the Cao Bang Minerals &amp; Metallurgy Joint Stock Company</v>
      </c>
    </row>
    <row r="317" spans="1:10" ht="10.5" customHeight="1">
      <c r="A317" s="51" t="s">
        <v>2437</v>
      </c>
      <c r="B317" s="51" t="s">
        <v>4522</v>
      </c>
      <c r="C317" s="51" t="s">
        <v>4522</v>
      </c>
      <c r="D317" s="51" t="s">
        <v>2318</v>
      </c>
      <c r="E317" s="51" t="s">
        <v>3773</v>
      </c>
      <c r="F317" s="237" t="s">
        <v>3324</v>
      </c>
      <c r="H317" s="51" t="s">
        <v>3774</v>
      </c>
      <c r="I317" s="51" t="s">
        <v>3775</v>
      </c>
      <c r="J317" s="51" t="str">
        <f t="shared" si="4"/>
        <v>TinElmet S.L.U. (Metallo Group)</v>
      </c>
    </row>
    <row r="318" spans="1:10" ht="10.5" customHeight="1">
      <c r="A318" s="51" t="s">
        <v>2437</v>
      </c>
      <c r="B318" s="51" t="s">
        <v>1614</v>
      </c>
      <c r="C318" s="51" t="s">
        <v>1614</v>
      </c>
      <c r="D318" s="51" t="s">
        <v>2282</v>
      </c>
      <c r="E318" s="51" t="s">
        <v>1465</v>
      </c>
      <c r="F318" s="237" t="s">
        <v>3324</v>
      </c>
      <c r="H318" s="51" t="s">
        <v>3674</v>
      </c>
      <c r="I318" s="51" t="s">
        <v>3675</v>
      </c>
      <c r="J318" s="51" t="str">
        <f t="shared" si="4"/>
        <v>TinEM Vinto</v>
      </c>
    </row>
    <row r="319" spans="1:10" ht="10.5" customHeight="1">
      <c r="A319" s="51" t="s">
        <v>2437</v>
      </c>
      <c r="B319" s="51" t="s">
        <v>4565</v>
      </c>
      <c r="C319" s="51" t="s">
        <v>1614</v>
      </c>
      <c r="D319" s="51" t="s">
        <v>2282</v>
      </c>
      <c r="E319" s="51" t="s">
        <v>1465</v>
      </c>
      <c r="F319" s="237" t="s">
        <v>3324</v>
      </c>
      <c r="H319" s="51" t="s">
        <v>3674</v>
      </c>
      <c r="I319" s="51" t="s">
        <v>3675</v>
      </c>
      <c r="J319" s="51" t="str">
        <f t="shared" si="4"/>
        <v>TinEmpresa Metalúrgica Vinto</v>
      </c>
    </row>
    <row r="320" spans="1:10" ht="10.5" customHeight="1">
      <c r="A320" s="51" t="s">
        <v>2437</v>
      </c>
      <c r="B320" s="51" t="s">
        <v>2046</v>
      </c>
      <c r="C320" s="51" t="s">
        <v>1614</v>
      </c>
      <c r="D320" s="51" t="s">
        <v>2282</v>
      </c>
      <c r="E320" s="51" t="s">
        <v>1465</v>
      </c>
      <c r="F320" s="237" t="s">
        <v>3324</v>
      </c>
      <c r="H320" s="51" t="s">
        <v>3674</v>
      </c>
      <c r="I320" s="51" t="s">
        <v>3675</v>
      </c>
      <c r="J320" s="51" t="str">
        <f t="shared" si="4"/>
        <v>TinEmpressa Nacional de Fundiciones (ENAF)</v>
      </c>
    </row>
    <row r="321" spans="1:10" ht="10.5" customHeight="1">
      <c r="A321" s="51" t="s">
        <v>2437</v>
      </c>
      <c r="B321" s="51" t="s">
        <v>69</v>
      </c>
      <c r="C321" s="51" t="s">
        <v>1614</v>
      </c>
      <c r="D321" s="51" t="s">
        <v>2282</v>
      </c>
      <c r="E321" s="51" t="s">
        <v>1465</v>
      </c>
      <c r="F321" s="237" t="s">
        <v>3324</v>
      </c>
      <c r="H321" s="51" t="s">
        <v>3674</v>
      </c>
      <c r="I321" s="51" t="s">
        <v>3675</v>
      </c>
      <c r="J321" s="51" t="str">
        <f t="shared" si="4"/>
        <v>TinENAF</v>
      </c>
    </row>
    <row r="322" spans="1:10" ht="10.5" customHeight="1">
      <c r="A322" s="51" t="s">
        <v>2437</v>
      </c>
      <c r="B322" s="51" t="s">
        <v>1466</v>
      </c>
      <c r="C322" s="51" t="s">
        <v>1466</v>
      </c>
      <c r="D322" s="51" t="s">
        <v>2283</v>
      </c>
      <c r="E322" s="51" t="s">
        <v>1467</v>
      </c>
      <c r="F322" s="237" t="s">
        <v>3324</v>
      </c>
      <c r="H322" s="51" t="s">
        <v>3665</v>
      </c>
      <c r="I322" s="51" t="s">
        <v>3676</v>
      </c>
      <c r="J322" s="51" t="str">
        <f t="shared" si="4"/>
        <v>TinEstanho de Rondônia S.A.</v>
      </c>
    </row>
    <row r="323" spans="1:10" ht="10.5" customHeight="1">
      <c r="A323" s="51" t="s">
        <v>2437</v>
      </c>
      <c r="B323" s="51" t="s">
        <v>3677</v>
      </c>
      <c r="C323" s="51" t="s">
        <v>3677</v>
      </c>
      <c r="D323" s="51" t="s">
        <v>2308</v>
      </c>
      <c r="E323" s="51" t="s">
        <v>3678</v>
      </c>
      <c r="F323" s="237" t="s">
        <v>3324</v>
      </c>
      <c r="H323" s="51" t="s">
        <v>3679</v>
      </c>
      <c r="I323" s="51" t="s">
        <v>3680</v>
      </c>
      <c r="J323" s="51" t="str">
        <f t="shared" si="4"/>
        <v>TinFeinhütte Halsbrücke GmbH</v>
      </c>
    </row>
    <row r="324" spans="1:10" ht="10.5" customHeight="1">
      <c r="A324" s="51" t="s">
        <v>2437</v>
      </c>
      <c r="B324" s="51" t="s">
        <v>1567</v>
      </c>
      <c r="C324" s="51" t="s">
        <v>1567</v>
      </c>
      <c r="D324" s="51" t="s">
        <v>1816</v>
      </c>
      <c r="E324" s="51" t="s">
        <v>1468</v>
      </c>
      <c r="F324" s="237" t="s">
        <v>3324</v>
      </c>
      <c r="H324" s="51" t="s">
        <v>3681</v>
      </c>
      <c r="I324" s="51" t="s">
        <v>3682</v>
      </c>
      <c r="J324" s="51" t="str">
        <f t="shared" si="4"/>
        <v>TinFenix Metals</v>
      </c>
    </row>
    <row r="325" spans="1:10" ht="10.5" customHeight="1">
      <c r="A325" s="51" t="s">
        <v>2437</v>
      </c>
      <c r="B325" s="51" t="s">
        <v>1898</v>
      </c>
      <c r="C325" s="51" t="s">
        <v>3709</v>
      </c>
      <c r="D325" s="51" t="s">
        <v>1825</v>
      </c>
      <c r="E325" s="51" t="s">
        <v>1479</v>
      </c>
      <c r="F325" s="237" t="s">
        <v>3324</v>
      </c>
      <c r="H325" s="51" t="s">
        <v>3383</v>
      </c>
      <c r="I325" s="51" t="s">
        <v>3710</v>
      </c>
      <c r="J325" s="51" t="str">
        <f t="shared" si="4"/>
        <v>TinFSE Novosibirsk Refinery</v>
      </c>
    </row>
    <row r="326" spans="1:10" ht="10.5" customHeight="1">
      <c r="A326" s="51" t="s">
        <v>2437</v>
      </c>
      <c r="B326" s="51" t="s">
        <v>3705</v>
      </c>
      <c r="C326" s="51" t="s">
        <v>2065</v>
      </c>
      <c r="D326" s="51" t="s">
        <v>1812</v>
      </c>
      <c r="E326" s="51" t="s">
        <v>1477</v>
      </c>
      <c r="F326" s="237" t="s">
        <v>3324</v>
      </c>
      <c r="H326" s="51" t="s">
        <v>3703</v>
      </c>
      <c r="I326" s="51" t="s">
        <v>3704</v>
      </c>
      <c r="J326" s="51" t="str">
        <f t="shared" si="4"/>
        <v>TinFunsur Smelter</v>
      </c>
    </row>
    <row r="327" spans="1:10" ht="10.5" customHeight="1">
      <c r="A327" s="51" t="s">
        <v>2437</v>
      </c>
      <c r="B327" s="51" t="s">
        <v>70</v>
      </c>
      <c r="C327" s="51" t="s">
        <v>4431</v>
      </c>
      <c r="D327" s="51" t="s">
        <v>2294</v>
      </c>
      <c r="E327" s="51" t="s">
        <v>1505</v>
      </c>
      <c r="F327" s="237" t="s">
        <v>3324</v>
      </c>
      <c r="H327" s="51" t="s">
        <v>3685</v>
      </c>
      <c r="I327" s="51" t="s">
        <v>3364</v>
      </c>
      <c r="J327" s="51" t="str">
        <f t="shared" si="4"/>
        <v>TinGeiju City Datun Chengfeng Smelter</v>
      </c>
    </row>
    <row r="328" spans="1:10" ht="10.5" customHeight="1">
      <c r="A328" s="51" t="s">
        <v>2437</v>
      </c>
      <c r="B328" s="51" t="s">
        <v>2897</v>
      </c>
      <c r="C328" s="51" t="s">
        <v>2897</v>
      </c>
      <c r="D328" s="51" t="s">
        <v>2294</v>
      </c>
      <c r="E328" s="51" t="s">
        <v>1472</v>
      </c>
      <c r="F328" s="237" t="s">
        <v>3324</v>
      </c>
      <c r="H328" s="51" t="s">
        <v>3688</v>
      </c>
      <c r="I328" s="51" t="s">
        <v>3689</v>
      </c>
      <c r="J328" s="51" t="str">
        <f t="shared" ref="J328:J392" si="5">A328&amp;B328</f>
        <v>TinGejiu Kai Meng Industry and Trade LLC</v>
      </c>
    </row>
    <row r="329" spans="1:10" ht="10.5" customHeight="1">
      <c r="A329" s="51" t="s">
        <v>2437</v>
      </c>
      <c r="B329" s="51" t="s">
        <v>4400</v>
      </c>
      <c r="C329" s="51" t="s">
        <v>4400</v>
      </c>
      <c r="D329" s="51" t="s">
        <v>2294</v>
      </c>
      <c r="E329" s="51" t="s">
        <v>1469</v>
      </c>
      <c r="F329" s="237" t="s">
        <v>3324</v>
      </c>
      <c r="H329" s="51" t="s">
        <v>3683</v>
      </c>
      <c r="I329" s="51" t="s">
        <v>3364</v>
      </c>
      <c r="J329" s="51" t="str">
        <f t="shared" si="5"/>
        <v>TinGejiu Non-Ferrous Metal Processing Co., Ltd.</v>
      </c>
    </row>
    <row r="330" spans="1:10" ht="10.5" customHeight="1">
      <c r="A330" s="51" t="s">
        <v>2437</v>
      </c>
      <c r="B330" s="51" t="s">
        <v>3735</v>
      </c>
      <c r="C330" s="51" t="s">
        <v>3735</v>
      </c>
      <c r="D330" s="51" t="s">
        <v>2294</v>
      </c>
      <c r="E330" s="51" t="s">
        <v>3736</v>
      </c>
      <c r="F330" s="237" t="s">
        <v>3324</v>
      </c>
      <c r="H330" s="51" t="s">
        <v>3685</v>
      </c>
      <c r="I330" s="51" t="s">
        <v>3364</v>
      </c>
      <c r="J330" s="51" t="str">
        <f t="shared" si="5"/>
        <v>TinGejiu Yunxin Nonferrous Electrolysis Co., Ltd.</v>
      </c>
    </row>
    <row r="331" spans="1:10" ht="10.5" customHeight="1">
      <c r="A331" s="51" t="s">
        <v>2437</v>
      </c>
      <c r="B331" s="51" t="s">
        <v>1615</v>
      </c>
      <c r="C331" s="51" t="s">
        <v>3684</v>
      </c>
      <c r="D331" s="51" t="s">
        <v>2294</v>
      </c>
      <c r="E331" s="51" t="s">
        <v>1470</v>
      </c>
      <c r="F331" s="237" t="s">
        <v>3324</v>
      </c>
      <c r="H331" s="51" t="s">
        <v>3685</v>
      </c>
      <c r="I331" s="51" t="s">
        <v>3364</v>
      </c>
      <c r="J331" s="51" t="str">
        <f t="shared" si="5"/>
        <v>TinGejiu Zi-Li</v>
      </c>
    </row>
    <row r="332" spans="1:10" ht="10.5" customHeight="1">
      <c r="A332" s="51" t="s">
        <v>2437</v>
      </c>
      <c r="B332" s="51" t="s">
        <v>3684</v>
      </c>
      <c r="C332" s="51" t="s">
        <v>3684</v>
      </c>
      <c r="D332" s="51" t="s">
        <v>2294</v>
      </c>
      <c r="E332" s="51" t="s">
        <v>1470</v>
      </c>
      <c r="F332" s="237" t="s">
        <v>3324</v>
      </c>
      <c r="H332" s="51" t="s">
        <v>3685</v>
      </c>
      <c r="I332" s="51" t="s">
        <v>3364</v>
      </c>
      <c r="J332" s="51" t="str">
        <f t="shared" si="5"/>
        <v>TinGejiu Zili Mining And Metallurgy Co., Ltd.</v>
      </c>
    </row>
    <row r="333" spans="1:10" ht="10.5" customHeight="1">
      <c r="A333" s="51" t="s">
        <v>2437</v>
      </c>
      <c r="B333" s="51" t="s">
        <v>3693</v>
      </c>
      <c r="C333" s="51" t="s">
        <v>2701</v>
      </c>
      <c r="D333" s="51" t="s">
        <v>2294</v>
      </c>
      <c r="E333" s="51" t="s">
        <v>1474</v>
      </c>
      <c r="F333" s="237" t="s">
        <v>3324</v>
      </c>
      <c r="H333" s="51" t="s">
        <v>3692</v>
      </c>
      <c r="I333" s="51" t="s">
        <v>3656</v>
      </c>
      <c r="J333" s="51" t="str">
        <f t="shared" si="5"/>
        <v>TinGuang Xi Liu Xhou</v>
      </c>
    </row>
    <row r="334" spans="1:10" ht="10.5" customHeight="1">
      <c r="A334" s="51" t="s">
        <v>2437</v>
      </c>
      <c r="B334" s="51" t="s">
        <v>71</v>
      </c>
      <c r="C334" s="51" t="s">
        <v>2701</v>
      </c>
      <c r="D334" s="51" t="s">
        <v>2294</v>
      </c>
      <c r="E334" s="51" t="s">
        <v>1474</v>
      </c>
      <c r="F334" s="237" t="s">
        <v>3324</v>
      </c>
      <c r="H334" s="51" t="s">
        <v>3692</v>
      </c>
      <c r="I334" s="51" t="s">
        <v>3656</v>
      </c>
      <c r="J334" s="51" t="str">
        <f t="shared" si="5"/>
        <v>TinGuangXi China Tin</v>
      </c>
    </row>
    <row r="335" spans="1:10" ht="10.5" customHeight="1">
      <c r="A335" s="51" t="s">
        <v>2437</v>
      </c>
      <c r="B335" s="51" t="s">
        <v>2486</v>
      </c>
      <c r="C335" s="52" t="s">
        <v>4397</v>
      </c>
      <c r="D335" s="52" t="s">
        <v>2294</v>
      </c>
      <c r="E335" s="51" t="s">
        <v>1460</v>
      </c>
      <c r="F335" s="237" t="s">
        <v>3324</v>
      </c>
      <c r="H335" s="51" t="s">
        <v>3655</v>
      </c>
      <c r="I335" s="51" t="s">
        <v>3656</v>
      </c>
      <c r="J335" s="51" t="str">
        <f t="shared" si="5"/>
        <v>TinGuangxi Pinggui PGMA Co. Ltd.</v>
      </c>
    </row>
    <row r="336" spans="1:10" ht="10.5" customHeight="1">
      <c r="A336" s="51" t="s">
        <v>2437</v>
      </c>
      <c r="B336" s="51" t="s">
        <v>4401</v>
      </c>
      <c r="C336" s="51" t="s">
        <v>4401</v>
      </c>
      <c r="D336" s="51" t="s">
        <v>2294</v>
      </c>
      <c r="E336" s="51" t="s">
        <v>1471</v>
      </c>
      <c r="F336" s="237" t="s">
        <v>3324</v>
      </c>
      <c r="H336" s="51" t="s">
        <v>3687</v>
      </c>
      <c r="I336" s="51" t="s">
        <v>3408</v>
      </c>
      <c r="J336" s="51" t="str">
        <f t="shared" si="5"/>
        <v>TinHuichang Jinshunda Tin Co., Ltd.</v>
      </c>
    </row>
    <row r="337" spans="1:10" ht="10.5" customHeight="1">
      <c r="A337" s="51" t="s">
        <v>2437</v>
      </c>
      <c r="B337" s="51" t="s">
        <v>72</v>
      </c>
      <c r="C337" s="51" t="s">
        <v>4401</v>
      </c>
      <c r="D337" s="51" t="s">
        <v>2294</v>
      </c>
      <c r="E337" s="51" t="s">
        <v>1471</v>
      </c>
      <c r="F337" s="237" t="s">
        <v>3324</v>
      </c>
      <c r="H337" s="51" t="s">
        <v>3687</v>
      </c>
      <c r="I337" s="51" t="s">
        <v>3408</v>
      </c>
      <c r="J337" s="51" t="str">
        <f t="shared" si="5"/>
        <v>TinHuichang Shun Tin Kam Industries, Ltd.</v>
      </c>
    </row>
    <row r="338" spans="1:10" ht="10.5" customHeight="1">
      <c r="A338" s="51" t="s">
        <v>2437</v>
      </c>
      <c r="B338" s="51" t="s">
        <v>4541</v>
      </c>
      <c r="C338" s="51" t="s">
        <v>4401</v>
      </c>
      <c r="D338" s="51" t="s">
        <v>2294</v>
      </c>
      <c r="E338" s="51" t="s">
        <v>1471</v>
      </c>
      <c r="F338" s="237" t="s">
        <v>3324</v>
      </c>
      <c r="H338" s="51" t="s">
        <v>3687</v>
      </c>
      <c r="I338" s="51" t="s">
        <v>3408</v>
      </c>
      <c r="J338" s="51" t="str">
        <f t="shared" si="5"/>
        <v>TinJiangxi Shunda Huichang Kam Tin Co., Ltd.</v>
      </c>
    </row>
    <row r="339" spans="1:10" ht="10.5" customHeight="1">
      <c r="A339" s="51" t="s">
        <v>2437</v>
      </c>
      <c r="B339" s="51" t="s">
        <v>4566</v>
      </c>
      <c r="C339" s="51" t="s">
        <v>4517</v>
      </c>
      <c r="D339" s="51" t="s">
        <v>2351</v>
      </c>
      <c r="E339" s="51" t="s">
        <v>1498</v>
      </c>
      <c r="F339" s="237" t="s">
        <v>3324</v>
      </c>
      <c r="H339" s="51" t="s">
        <v>3727</v>
      </c>
      <c r="I339" s="51" t="s">
        <v>3669</v>
      </c>
      <c r="J339" s="51" t="str">
        <f t="shared" si="5"/>
        <v>TinIndonesian State Tin Corporation Mentok Smelter</v>
      </c>
    </row>
    <row r="340" spans="1:10" ht="10.5" customHeight="1">
      <c r="A340" s="51" t="s">
        <v>2437</v>
      </c>
      <c r="B340" s="51" t="s">
        <v>1256</v>
      </c>
      <c r="C340" s="51" t="s">
        <v>1282</v>
      </c>
      <c r="D340" s="51" t="s">
        <v>2351</v>
      </c>
      <c r="E340" s="51" t="s">
        <v>1488</v>
      </c>
      <c r="F340" s="237" t="s">
        <v>3324</v>
      </c>
      <c r="H340" s="51" t="s">
        <v>3672</v>
      </c>
      <c r="I340" s="51" t="s">
        <v>3669</v>
      </c>
      <c r="J340" s="51" t="str">
        <f t="shared" si="5"/>
        <v>TinIndra Eramulti Logam</v>
      </c>
    </row>
    <row r="341" spans="1:10" ht="10.5" customHeight="1">
      <c r="A341" s="51" t="s">
        <v>2437</v>
      </c>
      <c r="B341" s="52" t="s">
        <v>3654</v>
      </c>
      <c r="C341" s="52" t="s">
        <v>3654</v>
      </c>
      <c r="D341" s="52" t="s">
        <v>2294</v>
      </c>
      <c r="E341" s="51" t="s">
        <v>1459</v>
      </c>
      <c r="F341" s="237" t="s">
        <v>3324</v>
      </c>
      <c r="H341" s="51" t="s">
        <v>3618</v>
      </c>
      <c r="I341" s="51" t="s">
        <v>3408</v>
      </c>
      <c r="J341" s="51" t="str">
        <f t="shared" si="5"/>
        <v>TinJiangxi Ketai Advanced Material Co., Ltd.</v>
      </c>
    </row>
    <row r="342" spans="1:10" ht="10.5" customHeight="1">
      <c r="A342" s="51" t="s">
        <v>2437</v>
      </c>
      <c r="B342" s="51" t="s">
        <v>4567</v>
      </c>
      <c r="C342" s="51" t="s">
        <v>4413</v>
      </c>
      <c r="D342" s="51" t="s">
        <v>2294</v>
      </c>
      <c r="E342" s="51" t="s">
        <v>3707</v>
      </c>
      <c r="F342" s="237" t="s">
        <v>3324</v>
      </c>
      <c r="H342" s="51" t="s">
        <v>3687</v>
      </c>
      <c r="I342" s="51" t="s">
        <v>3408</v>
      </c>
      <c r="J342" s="51" t="str">
        <f t="shared" si="5"/>
        <v>TinJiangxi Nanshan</v>
      </c>
    </row>
    <row r="343" spans="1:10" ht="10.5" customHeight="1">
      <c r="A343" s="51" t="s">
        <v>2437</v>
      </c>
      <c r="B343" s="51" t="s">
        <v>4568</v>
      </c>
      <c r="C343" s="51" t="s">
        <v>2897</v>
      </c>
      <c r="D343" s="51" t="s">
        <v>2294</v>
      </c>
      <c r="E343" s="51" t="s">
        <v>1472</v>
      </c>
      <c r="F343" s="237" t="s">
        <v>3324</v>
      </c>
      <c r="H343" s="51" t="s">
        <v>3688</v>
      </c>
      <c r="I343" s="51" t="s">
        <v>3689</v>
      </c>
      <c r="J343" s="51" t="str">
        <f t="shared" si="5"/>
        <v>TinKai Union Industry and Trade Co., Ltd. (China)</v>
      </c>
    </row>
    <row r="344" spans="1:10" ht="10.5" customHeight="1">
      <c r="A344" s="51" t="s">
        <v>2437</v>
      </c>
      <c r="B344" s="51" t="s">
        <v>1061</v>
      </c>
      <c r="C344" s="51" t="s">
        <v>2897</v>
      </c>
      <c r="D344" s="51" t="s">
        <v>2294</v>
      </c>
      <c r="E344" s="51" t="s">
        <v>1472</v>
      </c>
      <c r="F344" s="237" t="s">
        <v>3324</v>
      </c>
      <c r="H344" s="51" t="s">
        <v>3688</v>
      </c>
      <c r="I344" s="51" t="s">
        <v>3689</v>
      </c>
      <c r="J344" s="51" t="str">
        <f t="shared" si="5"/>
        <v>TinKai Unita Trade Limited Liability Company</v>
      </c>
    </row>
    <row r="345" spans="1:10" ht="10.5" customHeight="1">
      <c r="A345" s="51" t="s">
        <v>2437</v>
      </c>
      <c r="B345" s="51" t="s">
        <v>73</v>
      </c>
      <c r="C345" s="51" t="s">
        <v>1280</v>
      </c>
      <c r="D345" s="51" t="s">
        <v>2351</v>
      </c>
      <c r="E345" s="51" t="s">
        <v>1485</v>
      </c>
      <c r="F345" s="237" t="s">
        <v>3324</v>
      </c>
      <c r="H345" s="51" t="s">
        <v>3672</v>
      </c>
      <c r="I345" s="51" t="s">
        <v>3669</v>
      </c>
      <c r="J345" s="51" t="str">
        <f t="shared" si="5"/>
        <v>TinKetabang</v>
      </c>
    </row>
    <row r="346" spans="1:10" ht="10.5" customHeight="1">
      <c r="A346" s="51" t="s">
        <v>2437</v>
      </c>
      <c r="B346" s="51" t="s">
        <v>3726</v>
      </c>
      <c r="C346" s="51" t="s">
        <v>3723</v>
      </c>
      <c r="D346" s="51" t="s">
        <v>2351</v>
      </c>
      <c r="E346" s="51" t="s">
        <v>1523</v>
      </c>
      <c r="F346" s="237" t="s">
        <v>3324</v>
      </c>
      <c r="H346" s="51" t="s">
        <v>3724</v>
      </c>
      <c r="I346" s="51" t="s">
        <v>3725</v>
      </c>
      <c r="J346" s="51" t="str">
        <f t="shared" si="5"/>
        <v>TinKundur Smelter</v>
      </c>
    </row>
    <row r="347" spans="1:10" ht="10.5" customHeight="1">
      <c r="A347" s="51" t="s">
        <v>2437</v>
      </c>
      <c r="B347" s="51" t="s">
        <v>3690</v>
      </c>
      <c r="C347" s="51" t="s">
        <v>3690</v>
      </c>
      <c r="D347" s="51" t="s">
        <v>2294</v>
      </c>
      <c r="E347" s="51" t="s">
        <v>1473</v>
      </c>
      <c r="F347" s="237" t="s">
        <v>3324</v>
      </c>
      <c r="H347" s="51" t="s">
        <v>3691</v>
      </c>
      <c r="I347" s="51" t="s">
        <v>3390</v>
      </c>
      <c r="J347" s="51" t="str">
        <f t="shared" si="5"/>
        <v>TinLinwu Xianggui Ore Smelting Co., Ltd.</v>
      </c>
    </row>
    <row r="348" spans="1:10" ht="10.5" customHeight="1">
      <c r="A348" s="51" t="s">
        <v>2437</v>
      </c>
      <c r="B348" s="51" t="s">
        <v>1255</v>
      </c>
      <c r="C348" s="51" t="s">
        <v>3690</v>
      </c>
      <c r="D348" s="51" t="s">
        <v>2294</v>
      </c>
      <c r="E348" s="51" t="s">
        <v>1473</v>
      </c>
      <c r="F348" s="237" t="s">
        <v>3324</v>
      </c>
      <c r="H348" s="51" t="s">
        <v>3691</v>
      </c>
      <c r="I348" s="51" t="s">
        <v>3390</v>
      </c>
      <c r="J348" s="51" t="str">
        <f t="shared" si="5"/>
        <v>TinLinwu Xianggui Smelter Co</v>
      </c>
    </row>
    <row r="349" spans="1:10" ht="10.5" customHeight="1">
      <c r="A349" s="51" t="s">
        <v>2437</v>
      </c>
      <c r="B349" s="51" t="s">
        <v>3694</v>
      </c>
      <c r="C349" s="51" t="s">
        <v>2701</v>
      </c>
      <c r="D349" s="51" t="s">
        <v>2294</v>
      </c>
      <c r="E349" s="51" t="s">
        <v>1474</v>
      </c>
      <c r="F349" s="237" t="s">
        <v>3324</v>
      </c>
      <c r="H349" s="51" t="s">
        <v>3692</v>
      </c>
      <c r="I349" s="51" t="s">
        <v>3656</v>
      </c>
      <c r="J349" s="51" t="str">
        <f t="shared" si="5"/>
        <v>TinLiuzhhou China Tin</v>
      </c>
    </row>
    <row r="350" spans="1:10" ht="10.5" customHeight="1">
      <c r="A350" s="51" t="s">
        <v>2437</v>
      </c>
      <c r="B350" s="51" t="s">
        <v>4434</v>
      </c>
      <c r="C350" s="51" t="s">
        <v>4434</v>
      </c>
      <c r="D350" s="51" t="s">
        <v>2283</v>
      </c>
      <c r="E350" s="51" t="s">
        <v>221</v>
      </c>
      <c r="F350" s="237" t="s">
        <v>3324</v>
      </c>
      <c r="H350" s="51" t="s">
        <v>3593</v>
      </c>
      <c r="I350" s="51" t="s">
        <v>3337</v>
      </c>
      <c r="J350" s="51" t="str">
        <f t="shared" si="5"/>
        <v>TinMagnu's Minerais Metais e Ligas Ltda.</v>
      </c>
    </row>
    <row r="351" spans="1:10" ht="10.5" customHeight="1">
      <c r="A351" s="51" t="s">
        <v>2437</v>
      </c>
      <c r="B351" s="51" t="s">
        <v>1577</v>
      </c>
      <c r="C351" s="51" t="s">
        <v>1577</v>
      </c>
      <c r="D351" s="51" t="s">
        <v>2402</v>
      </c>
      <c r="E351" s="51" t="s">
        <v>1475</v>
      </c>
      <c r="F351" s="237" t="s">
        <v>3324</v>
      </c>
      <c r="H351" s="51" t="s">
        <v>3697</v>
      </c>
      <c r="I351" s="51" t="s">
        <v>3698</v>
      </c>
      <c r="J351" s="51" t="str">
        <f t="shared" si="5"/>
        <v>TinMalaysia Smelting Corporation (MSC)</v>
      </c>
    </row>
    <row r="352" spans="1:10" ht="10.5" customHeight="1">
      <c r="A352" s="51" t="s">
        <v>2437</v>
      </c>
      <c r="B352" s="51" t="s">
        <v>2697</v>
      </c>
      <c r="C352" s="51" t="s">
        <v>2697</v>
      </c>
      <c r="D352" s="51" t="s">
        <v>2283</v>
      </c>
      <c r="E352" s="51" t="s">
        <v>2698</v>
      </c>
      <c r="F352" s="237" t="s">
        <v>3324</v>
      </c>
      <c r="H352" s="51" t="s">
        <v>3665</v>
      </c>
      <c r="I352" s="51" t="s">
        <v>3666</v>
      </c>
      <c r="J352" s="51" t="str">
        <f t="shared" si="5"/>
        <v>TinMelt Metais e Ligas S/A</v>
      </c>
    </row>
    <row r="353" spans="1:10" ht="10.5" customHeight="1">
      <c r="A353" s="51" t="s">
        <v>2437</v>
      </c>
      <c r="B353" s="51" t="s">
        <v>4569</v>
      </c>
      <c r="C353" s="51" t="s">
        <v>4517</v>
      </c>
      <c r="D353" s="51" t="s">
        <v>2351</v>
      </c>
      <c r="E353" s="51" t="s">
        <v>1498</v>
      </c>
      <c r="F353" s="237" t="s">
        <v>3324</v>
      </c>
      <c r="H353" s="51" t="s">
        <v>3727</v>
      </c>
      <c r="I353" s="51" t="s">
        <v>3669</v>
      </c>
      <c r="J353" s="51" t="str">
        <f t="shared" si="5"/>
        <v>TinMentok Smelter</v>
      </c>
    </row>
    <row r="354" spans="1:10" ht="10.5" customHeight="1">
      <c r="A354" s="51" t="s">
        <v>2437</v>
      </c>
      <c r="B354" s="302" t="s">
        <v>4578</v>
      </c>
      <c r="C354" s="302" t="s">
        <v>4578</v>
      </c>
      <c r="D354" s="303" t="s">
        <v>2402</v>
      </c>
      <c r="E354" s="301" t="s">
        <v>4579</v>
      </c>
      <c r="F354" s="237" t="s">
        <v>3324</v>
      </c>
      <c r="H354" s="51" t="s">
        <v>4588</v>
      </c>
      <c r="I354" s="51" t="s">
        <v>4580</v>
      </c>
      <c r="J354" s="51" t="str">
        <f t="shared" si="5"/>
        <v>TinMetahub Industries Sdn. Bhd.</v>
      </c>
    </row>
    <row r="355" spans="1:10" ht="10.5" customHeight="1">
      <c r="A355" s="51" t="s">
        <v>2437</v>
      </c>
      <c r="B355" s="51" t="s">
        <v>3695</v>
      </c>
      <c r="C355" s="51" t="s">
        <v>2701</v>
      </c>
      <c r="D355" s="51" t="s">
        <v>2294</v>
      </c>
      <c r="E355" s="51" t="s">
        <v>1474</v>
      </c>
      <c r="F355" s="237" t="s">
        <v>3324</v>
      </c>
      <c r="H355" s="51" t="s">
        <v>3692</v>
      </c>
      <c r="I355" s="51" t="s">
        <v>3656</v>
      </c>
      <c r="J355" s="51" t="str">
        <f t="shared" si="5"/>
        <v>TinMetallic Materials Branch of Guangxi China Tin Group Co.,Ltd.</v>
      </c>
    </row>
    <row r="356" spans="1:10" ht="10.5" customHeight="1">
      <c r="A356" s="51" t="s">
        <v>2437</v>
      </c>
      <c r="B356" s="51" t="s">
        <v>4409</v>
      </c>
      <c r="C356" s="51" t="s">
        <v>4409</v>
      </c>
      <c r="D356" s="51" t="s">
        <v>1867</v>
      </c>
      <c r="E356" s="51" t="s">
        <v>3699</v>
      </c>
      <c r="F356" s="237" t="s">
        <v>3324</v>
      </c>
      <c r="H356" s="51" t="s">
        <v>3700</v>
      </c>
      <c r="I356" s="51" t="s">
        <v>3464</v>
      </c>
      <c r="J356" s="51" t="str">
        <f t="shared" si="5"/>
        <v>TinMetallic Resources, Inc.</v>
      </c>
    </row>
    <row r="357" spans="1:10" ht="10.5" customHeight="1">
      <c r="A357" s="51" t="s">
        <v>2437</v>
      </c>
      <c r="B357" s="51" t="s">
        <v>3770</v>
      </c>
      <c r="C357" s="51" t="s">
        <v>3770</v>
      </c>
      <c r="D357" s="51" t="s">
        <v>2271</v>
      </c>
      <c r="E357" s="51" t="s">
        <v>3771</v>
      </c>
      <c r="F357" s="237" t="s">
        <v>3324</v>
      </c>
      <c r="H357" s="51" t="s">
        <v>3772</v>
      </c>
      <c r="I357" s="51" t="s">
        <v>3525</v>
      </c>
      <c r="J357" s="51" t="str">
        <f t="shared" si="5"/>
        <v>TinMetallo-Chimique N.V.</v>
      </c>
    </row>
    <row r="358" spans="1:10" ht="10.5" customHeight="1">
      <c r="A358" s="51" t="s">
        <v>2437</v>
      </c>
      <c r="B358" s="51" t="s">
        <v>2064</v>
      </c>
      <c r="C358" s="51" t="s">
        <v>2064</v>
      </c>
      <c r="D358" s="51" t="s">
        <v>2283</v>
      </c>
      <c r="E358" s="51" t="s">
        <v>1476</v>
      </c>
      <c r="F358" s="237" t="s">
        <v>3324</v>
      </c>
      <c r="H358" s="51" t="s">
        <v>3701</v>
      </c>
      <c r="I358" s="51" t="s">
        <v>3523</v>
      </c>
      <c r="J358" s="51" t="str">
        <f t="shared" si="5"/>
        <v>TinMineração Taboca S.A.</v>
      </c>
    </row>
    <row r="359" spans="1:10" ht="10.5" customHeight="1">
      <c r="A359" s="51" t="s">
        <v>2437</v>
      </c>
      <c r="B359" s="51" t="s">
        <v>2065</v>
      </c>
      <c r="C359" s="51" t="s">
        <v>2065</v>
      </c>
      <c r="D359" s="51" t="s">
        <v>1812</v>
      </c>
      <c r="E359" s="51" t="s">
        <v>1477</v>
      </c>
      <c r="F359" s="237" t="s">
        <v>3324</v>
      </c>
      <c r="H359" s="51" t="s">
        <v>3703</v>
      </c>
      <c r="I359" s="51" t="s">
        <v>3704</v>
      </c>
      <c r="J359" s="51" t="str">
        <f t="shared" si="5"/>
        <v>TinMinsur</v>
      </c>
    </row>
    <row r="360" spans="1:10" ht="10.5" customHeight="1">
      <c r="A360" s="51" t="s">
        <v>2437</v>
      </c>
      <c r="B360" s="51" t="s">
        <v>2484</v>
      </c>
      <c r="C360" s="51" t="s">
        <v>2484</v>
      </c>
      <c r="D360" s="51" t="s">
        <v>2362</v>
      </c>
      <c r="E360" s="51" t="s">
        <v>1478</v>
      </c>
      <c r="F360" s="237" t="s">
        <v>3324</v>
      </c>
      <c r="H360" s="51" t="s">
        <v>3706</v>
      </c>
      <c r="I360" s="51" t="s">
        <v>3341</v>
      </c>
      <c r="J360" s="51" t="str">
        <f t="shared" si="5"/>
        <v>TinMitsubishi Materials Corporation</v>
      </c>
    </row>
    <row r="361" spans="1:10" ht="10.5" customHeight="1">
      <c r="A361" s="51" t="s">
        <v>2437</v>
      </c>
      <c r="B361" s="51" t="s">
        <v>4570</v>
      </c>
      <c r="C361" s="51" t="s">
        <v>1577</v>
      </c>
      <c r="D361" s="51" t="s">
        <v>2402</v>
      </c>
      <c r="E361" s="51" t="s">
        <v>1475</v>
      </c>
      <c r="F361" s="237" t="s">
        <v>3324</v>
      </c>
      <c r="H361" s="51" t="s">
        <v>3697</v>
      </c>
      <c r="I361" s="51" t="s">
        <v>3698</v>
      </c>
      <c r="J361" s="51" t="str">
        <f t="shared" si="5"/>
        <v>TinMSC</v>
      </c>
    </row>
    <row r="362" spans="1:10" ht="10.5" customHeight="1">
      <c r="A362" s="51" t="s">
        <v>2437</v>
      </c>
      <c r="B362" s="51" t="s">
        <v>4413</v>
      </c>
      <c r="C362" s="51" t="s">
        <v>4413</v>
      </c>
      <c r="D362" s="51" t="s">
        <v>2294</v>
      </c>
      <c r="E362" s="51" t="s">
        <v>3707</v>
      </c>
      <c r="F362" s="237" t="s">
        <v>3324</v>
      </c>
      <c r="H362" s="51" t="s">
        <v>3687</v>
      </c>
      <c r="I362" s="51" t="s">
        <v>3408</v>
      </c>
      <c r="J362" s="51" t="str">
        <f t="shared" si="5"/>
        <v>TinNankang Nanshan Tin Manufactory Co., Ltd.</v>
      </c>
    </row>
    <row r="363" spans="1:10" ht="10.5" customHeight="1">
      <c r="A363" s="51" t="s">
        <v>2437</v>
      </c>
      <c r="B363" s="51" t="s">
        <v>3708</v>
      </c>
      <c r="C363" s="51" t="s">
        <v>4413</v>
      </c>
      <c r="D363" s="51" t="s">
        <v>2294</v>
      </c>
      <c r="E363" s="51" t="s">
        <v>3707</v>
      </c>
      <c r="F363" s="237" t="s">
        <v>3324</v>
      </c>
      <c r="H363" s="51" t="s">
        <v>3687</v>
      </c>
      <c r="I363" s="51" t="s">
        <v>3408</v>
      </c>
      <c r="J363" s="51" t="str">
        <f t="shared" si="5"/>
        <v>TinNanshan Tin Co. Ltd.</v>
      </c>
    </row>
    <row r="364" spans="1:10" ht="10.5" customHeight="1">
      <c r="A364" s="51" t="s">
        <v>2437</v>
      </c>
      <c r="B364" s="51" t="s">
        <v>3759</v>
      </c>
      <c r="C364" s="51" t="s">
        <v>3759</v>
      </c>
      <c r="D364" s="51" t="s">
        <v>1874</v>
      </c>
      <c r="E364" s="51" t="s">
        <v>3760</v>
      </c>
      <c r="F364" s="237" t="s">
        <v>3324</v>
      </c>
      <c r="H364" s="51" t="s">
        <v>3761</v>
      </c>
      <c r="I364" s="51" t="s">
        <v>3762</v>
      </c>
      <c r="J364" s="51" t="str">
        <f t="shared" si="5"/>
        <v>TinNghe Tinh Non-Ferrous Metals Joint Stock Company</v>
      </c>
    </row>
    <row r="365" spans="1:10" ht="10.5" customHeight="1">
      <c r="A365" s="51" t="s">
        <v>2437</v>
      </c>
      <c r="B365" s="51" t="s">
        <v>1059</v>
      </c>
      <c r="C365" s="51" t="s">
        <v>3709</v>
      </c>
      <c r="D365" s="51" t="s">
        <v>1825</v>
      </c>
      <c r="E365" s="51" t="s">
        <v>1479</v>
      </c>
      <c r="F365" s="237" t="s">
        <v>3324</v>
      </c>
      <c r="H365" s="51" t="s">
        <v>3383</v>
      </c>
      <c r="I365" s="51" t="s">
        <v>3710</v>
      </c>
      <c r="J365" s="51" t="str">
        <f t="shared" si="5"/>
        <v>TinNovosibirsk Integrated Tin Works</v>
      </c>
    </row>
    <row r="366" spans="1:10" ht="10.5" customHeight="1">
      <c r="A366" s="51" t="s">
        <v>2437</v>
      </c>
      <c r="B366" s="51" t="s">
        <v>3709</v>
      </c>
      <c r="C366" s="51" t="s">
        <v>3709</v>
      </c>
      <c r="D366" s="51" t="s">
        <v>1825</v>
      </c>
      <c r="E366" s="51" t="s">
        <v>1479</v>
      </c>
      <c r="F366" s="237" t="s">
        <v>3324</v>
      </c>
      <c r="H366" s="51" t="s">
        <v>3383</v>
      </c>
      <c r="I366" s="51" t="s">
        <v>3710</v>
      </c>
      <c r="J366" s="51" t="str">
        <f t="shared" si="5"/>
        <v>TinNovosibirsk Processing Plant Ltd.</v>
      </c>
    </row>
    <row r="367" spans="1:10" ht="10.5" customHeight="1">
      <c r="A367" s="51" t="s">
        <v>2437</v>
      </c>
      <c r="B367" s="51" t="s">
        <v>1480</v>
      </c>
      <c r="C367" s="51" t="s">
        <v>1480</v>
      </c>
      <c r="D367" s="51" t="s">
        <v>1851</v>
      </c>
      <c r="E367" s="51" t="s">
        <v>1481</v>
      </c>
      <c r="F367" s="237" t="s">
        <v>3324</v>
      </c>
      <c r="H367" s="51" t="s">
        <v>3711</v>
      </c>
      <c r="I367" s="51" t="s">
        <v>3712</v>
      </c>
      <c r="J367" s="51" t="str">
        <f t="shared" si="5"/>
        <v>TinO.M. Manufacturing (Thailand) Co., Ltd.</v>
      </c>
    </row>
    <row r="368" spans="1:10" ht="10.5" customHeight="1">
      <c r="A368" s="51" t="s">
        <v>2437</v>
      </c>
      <c r="B368" s="51" t="s">
        <v>2846</v>
      </c>
      <c r="C368" s="51" t="s">
        <v>2846</v>
      </c>
      <c r="D368" s="51" t="s">
        <v>1813</v>
      </c>
      <c r="E368" s="51" t="s">
        <v>2847</v>
      </c>
      <c r="F368" s="237" t="s">
        <v>3324</v>
      </c>
      <c r="H368" s="51" t="s">
        <v>3751</v>
      </c>
      <c r="I368" s="51" t="s">
        <v>3752</v>
      </c>
      <c r="J368" s="51" t="str">
        <f t="shared" si="5"/>
        <v>TinO.M. Manufacturing Philippines, Inc.</v>
      </c>
    </row>
    <row r="369" spans="1:10" ht="10.5" customHeight="1">
      <c r="A369" s="51" t="s">
        <v>2437</v>
      </c>
      <c r="B369" s="51" t="s">
        <v>4392</v>
      </c>
      <c r="C369" s="51" t="s">
        <v>3713</v>
      </c>
      <c r="D369" s="51" t="s">
        <v>2282</v>
      </c>
      <c r="E369" s="51" t="s">
        <v>1482</v>
      </c>
      <c r="F369" s="237" t="s">
        <v>3324</v>
      </c>
      <c r="H369" s="51" t="s">
        <v>3674</v>
      </c>
      <c r="I369" s="51" t="s">
        <v>3675</v>
      </c>
      <c r="J369" s="51" t="str">
        <f t="shared" si="5"/>
        <v>TinOMSA</v>
      </c>
    </row>
    <row r="370" spans="1:10" ht="10.5" customHeight="1">
      <c r="A370" s="51" t="s">
        <v>2437</v>
      </c>
      <c r="B370" s="51" t="s">
        <v>3713</v>
      </c>
      <c r="C370" s="51" t="s">
        <v>3713</v>
      </c>
      <c r="D370" s="51" t="s">
        <v>2282</v>
      </c>
      <c r="E370" s="51" t="s">
        <v>1482</v>
      </c>
      <c r="F370" s="237" t="s">
        <v>3324</v>
      </c>
      <c r="H370" s="51" t="s">
        <v>3674</v>
      </c>
      <c r="I370" s="51" t="s">
        <v>3675</v>
      </c>
      <c r="J370" s="51" t="str">
        <f t="shared" si="5"/>
        <v>TinOperaciones Metalurgical S.A.</v>
      </c>
    </row>
    <row r="371" spans="1:10" ht="10.5" customHeight="1">
      <c r="A371" s="51" t="s">
        <v>2437</v>
      </c>
      <c r="B371" s="51" t="s">
        <v>3657</v>
      </c>
      <c r="C371" s="52" t="s">
        <v>4397</v>
      </c>
      <c r="D371" s="52" t="s">
        <v>2294</v>
      </c>
      <c r="E371" s="51" t="s">
        <v>1460</v>
      </c>
      <c r="F371" s="237" t="s">
        <v>3324</v>
      </c>
      <c r="H371" s="51" t="s">
        <v>3655</v>
      </c>
      <c r="I371" s="51" t="s">
        <v>3656</v>
      </c>
      <c r="J371" s="51" t="str">
        <f t="shared" si="5"/>
        <v>TinPGMA</v>
      </c>
    </row>
    <row r="372" spans="1:10" ht="10.5" customHeight="1">
      <c r="A372" s="51" t="s">
        <v>2437</v>
      </c>
      <c r="B372" s="51" t="s">
        <v>3651</v>
      </c>
      <c r="C372" s="51" t="s">
        <v>3651</v>
      </c>
      <c r="D372" s="51" t="s">
        <v>1826</v>
      </c>
      <c r="E372" s="51" t="s">
        <v>2842</v>
      </c>
      <c r="F372" s="237" t="s">
        <v>3324</v>
      </c>
      <c r="H372" s="51" t="s">
        <v>3652</v>
      </c>
      <c r="I372" s="51" t="s">
        <v>3653</v>
      </c>
      <c r="J372" s="51" t="str">
        <f t="shared" si="5"/>
        <v>TinPhoenix Metal Ltd.</v>
      </c>
    </row>
    <row r="373" spans="1:10" ht="10.5" customHeight="1">
      <c r="A373" s="51" t="s">
        <v>2437</v>
      </c>
      <c r="B373" s="51" t="s">
        <v>2803</v>
      </c>
      <c r="C373" s="51" t="s">
        <v>2803</v>
      </c>
      <c r="D373" s="51" t="s">
        <v>2351</v>
      </c>
      <c r="E373" s="51" t="s">
        <v>2804</v>
      </c>
      <c r="F373" s="237" t="s">
        <v>3324</v>
      </c>
      <c r="H373" s="51" t="s">
        <v>3672</v>
      </c>
      <c r="I373" s="51" t="s">
        <v>3669</v>
      </c>
      <c r="J373" s="51" t="str">
        <f t="shared" si="5"/>
        <v>TinPT Alam Lestari Kencana</v>
      </c>
    </row>
    <row r="374" spans="1:10" ht="10.5" customHeight="1">
      <c r="A374" s="51" t="s">
        <v>2437</v>
      </c>
      <c r="B374" s="52" t="s">
        <v>4543</v>
      </c>
      <c r="C374" s="52" t="s">
        <v>4543</v>
      </c>
      <c r="D374" s="52" t="s">
        <v>2351</v>
      </c>
      <c r="E374" s="51" t="s">
        <v>2802</v>
      </c>
      <c r="F374" s="237" t="s">
        <v>3324</v>
      </c>
      <c r="H374" s="51" t="s">
        <v>3670</v>
      </c>
      <c r="I374" s="51" t="s">
        <v>3669</v>
      </c>
      <c r="J374" s="51" t="str">
        <f t="shared" si="5"/>
        <v>TinPT Aries Kencana Sejahtera</v>
      </c>
    </row>
    <row r="375" spans="1:10" ht="10.5" customHeight="1">
      <c r="A375" s="51" t="s">
        <v>2437</v>
      </c>
      <c r="B375" s="51" t="s">
        <v>1616</v>
      </c>
      <c r="C375" s="51" t="s">
        <v>1616</v>
      </c>
      <c r="D375" s="51" t="s">
        <v>2351</v>
      </c>
      <c r="E375" s="51" t="s">
        <v>1483</v>
      </c>
      <c r="F375" s="237" t="s">
        <v>3324</v>
      </c>
      <c r="H375" s="51" t="s">
        <v>3668</v>
      </c>
      <c r="I375" s="51" t="s">
        <v>3669</v>
      </c>
      <c r="J375" s="51" t="str">
        <f t="shared" si="5"/>
        <v>TinPT Artha Cipta Langgeng</v>
      </c>
    </row>
    <row r="376" spans="1:10" ht="10.5" customHeight="1">
      <c r="A376" s="51" t="s">
        <v>2437</v>
      </c>
      <c r="B376" s="51" t="s">
        <v>2848</v>
      </c>
      <c r="C376" s="51" t="s">
        <v>2848</v>
      </c>
      <c r="D376" s="51" t="s">
        <v>2351</v>
      </c>
      <c r="E376" s="51" t="s">
        <v>2849</v>
      </c>
      <c r="F376" s="237" t="s">
        <v>3324</v>
      </c>
      <c r="H376" s="51" t="s">
        <v>3668</v>
      </c>
      <c r="I376" s="51" t="s">
        <v>3750</v>
      </c>
      <c r="J376" s="51" t="str">
        <f t="shared" si="5"/>
        <v>TinPT ATD Makmur Mandiri Jaya</v>
      </c>
    </row>
    <row r="377" spans="1:10" ht="10.5" customHeight="1">
      <c r="A377" s="51" t="s">
        <v>2437</v>
      </c>
      <c r="B377" s="51" t="s">
        <v>1617</v>
      </c>
      <c r="C377" s="51" t="s">
        <v>1617</v>
      </c>
      <c r="D377" s="51" t="s">
        <v>2351</v>
      </c>
      <c r="E377" s="51" t="s">
        <v>1484</v>
      </c>
      <c r="F377" s="237" t="s">
        <v>3324</v>
      </c>
      <c r="H377" s="51" t="s">
        <v>3714</v>
      </c>
      <c r="I377" s="51" t="s">
        <v>3669</v>
      </c>
      <c r="J377" s="51" t="str">
        <f t="shared" si="5"/>
        <v>TinPT Babel Inti Perkasa</v>
      </c>
    </row>
    <row r="378" spans="1:10" ht="10.5" customHeight="1">
      <c r="A378" s="51" t="s">
        <v>2437</v>
      </c>
      <c r="B378" s="51" t="s">
        <v>2805</v>
      </c>
      <c r="C378" s="51" t="s">
        <v>2805</v>
      </c>
      <c r="D378" s="51" t="s">
        <v>2351</v>
      </c>
      <c r="E378" s="51" t="s">
        <v>2806</v>
      </c>
      <c r="F378" s="237" t="s">
        <v>3324</v>
      </c>
      <c r="H378" s="51" t="s">
        <v>3668</v>
      </c>
      <c r="I378" s="51" t="s">
        <v>3669</v>
      </c>
      <c r="J378" s="51" t="str">
        <f t="shared" si="5"/>
        <v>TinPT Bangka Kudai Tin</v>
      </c>
    </row>
    <row r="379" spans="1:10" ht="10.5" customHeight="1">
      <c r="A379" s="51" t="s">
        <v>2437</v>
      </c>
      <c r="B379" s="51" t="s">
        <v>4530</v>
      </c>
      <c r="C379" s="51" t="s">
        <v>4530</v>
      </c>
      <c r="D379" s="51" t="s">
        <v>2351</v>
      </c>
      <c r="E379" s="51" t="s">
        <v>4531</v>
      </c>
      <c r="F379" s="237" t="s">
        <v>3324</v>
      </c>
      <c r="H379" s="51" t="s">
        <v>3670</v>
      </c>
      <c r="I379" s="51" t="s">
        <v>3669</v>
      </c>
      <c r="J379" s="51" t="str">
        <f t="shared" si="5"/>
        <v>TinPT Bangka Prima Tin</v>
      </c>
    </row>
    <row r="380" spans="1:10" ht="10.5" customHeight="1">
      <c r="A380" s="51" t="s">
        <v>2437</v>
      </c>
      <c r="B380" s="51" t="s">
        <v>1280</v>
      </c>
      <c r="C380" s="51" t="s">
        <v>1280</v>
      </c>
      <c r="D380" s="51" t="s">
        <v>2351</v>
      </c>
      <c r="E380" s="51" t="s">
        <v>1485</v>
      </c>
      <c r="F380" s="237" t="s">
        <v>3324</v>
      </c>
      <c r="H380" s="51" t="s">
        <v>3672</v>
      </c>
      <c r="I380" s="51" t="s">
        <v>3669</v>
      </c>
      <c r="J380" s="51" t="str">
        <f t="shared" si="5"/>
        <v>TinPT Bangka Putra Karya</v>
      </c>
    </row>
    <row r="381" spans="1:10" ht="10.5" customHeight="1">
      <c r="A381" s="51" t="s">
        <v>2437</v>
      </c>
      <c r="B381" s="51" t="s">
        <v>2807</v>
      </c>
      <c r="C381" s="51" t="s">
        <v>2807</v>
      </c>
      <c r="D381" s="51" t="s">
        <v>2351</v>
      </c>
      <c r="E381" s="51" t="s">
        <v>2808</v>
      </c>
      <c r="F381" s="237" t="s">
        <v>3324</v>
      </c>
      <c r="H381" s="51" t="s">
        <v>3672</v>
      </c>
      <c r="I381" s="51" t="s">
        <v>3669</v>
      </c>
      <c r="J381" s="51" t="str">
        <f t="shared" si="5"/>
        <v>TinPT Bangka Timah Utama Sejahtera</v>
      </c>
    </row>
    <row r="382" spans="1:10" ht="10.5" customHeight="1">
      <c r="A382" s="51" t="s">
        <v>2437</v>
      </c>
      <c r="B382" s="51" t="s">
        <v>1257</v>
      </c>
      <c r="C382" s="51" t="s">
        <v>1257</v>
      </c>
      <c r="D382" s="51" t="s">
        <v>2351</v>
      </c>
      <c r="E382" s="51" t="s">
        <v>1486</v>
      </c>
      <c r="F382" s="237" t="s">
        <v>3324</v>
      </c>
      <c r="H382" s="51" t="s">
        <v>3668</v>
      </c>
      <c r="I382" s="51" t="s">
        <v>3669</v>
      </c>
      <c r="J382" s="51" t="str">
        <f t="shared" si="5"/>
        <v>TinPT Bangka Tin Industry</v>
      </c>
    </row>
    <row r="383" spans="1:10" ht="10.5" customHeight="1">
      <c r="A383" s="51" t="s">
        <v>2437</v>
      </c>
      <c r="B383" s="51" t="s">
        <v>1281</v>
      </c>
      <c r="C383" s="51" t="s">
        <v>1281</v>
      </c>
      <c r="D383" s="51" t="s">
        <v>2351</v>
      </c>
      <c r="E383" s="51" t="s">
        <v>1487</v>
      </c>
      <c r="F383" s="237" t="s">
        <v>3324</v>
      </c>
      <c r="H383" s="51" t="s">
        <v>3715</v>
      </c>
      <c r="I383" s="51" t="s">
        <v>3669</v>
      </c>
      <c r="J383" s="51" t="str">
        <f t="shared" si="5"/>
        <v>TinPT Belitung Industri Sejahtera</v>
      </c>
    </row>
    <row r="384" spans="1:10" ht="10.5" customHeight="1">
      <c r="A384" s="51" t="s">
        <v>2437</v>
      </c>
      <c r="B384" s="51" t="s">
        <v>2809</v>
      </c>
      <c r="C384" s="51" t="s">
        <v>2809</v>
      </c>
      <c r="D384" s="51" t="s">
        <v>2351</v>
      </c>
      <c r="E384" s="51" t="s">
        <v>2810</v>
      </c>
      <c r="F384" s="237" t="s">
        <v>3324</v>
      </c>
      <c r="H384" s="51" t="s">
        <v>3668</v>
      </c>
      <c r="I384" s="51" t="s">
        <v>3669</v>
      </c>
      <c r="J384" s="51" t="str">
        <f t="shared" si="5"/>
        <v>TinPT BilliTin Makmur Lestari</v>
      </c>
    </row>
    <row r="385" spans="1:10" ht="10.5" customHeight="1">
      <c r="A385" s="51" t="s">
        <v>2437</v>
      </c>
      <c r="B385" s="51" t="s">
        <v>1282</v>
      </c>
      <c r="C385" s="51" t="s">
        <v>1282</v>
      </c>
      <c r="D385" s="51" t="s">
        <v>2351</v>
      </c>
      <c r="E385" s="51" t="s">
        <v>1488</v>
      </c>
      <c r="F385" s="237" t="s">
        <v>3324</v>
      </c>
      <c r="H385" s="51" t="s">
        <v>3672</v>
      </c>
      <c r="I385" s="51" t="s">
        <v>3669</v>
      </c>
      <c r="J385" s="51" t="str">
        <f t="shared" si="5"/>
        <v>TinPT Bukit Timah</v>
      </c>
    </row>
    <row r="386" spans="1:10" ht="10.5" customHeight="1">
      <c r="A386" s="51" t="s">
        <v>2437</v>
      </c>
      <c r="B386" s="51" t="s">
        <v>3767</v>
      </c>
      <c r="C386" s="51" t="s">
        <v>3767</v>
      </c>
      <c r="D386" s="51" t="s">
        <v>2351</v>
      </c>
      <c r="E386" s="51" t="s">
        <v>3768</v>
      </c>
      <c r="F386" s="237" t="s">
        <v>3324</v>
      </c>
      <c r="H386" s="51" t="s">
        <v>3715</v>
      </c>
      <c r="I386" s="51" t="s">
        <v>3669</v>
      </c>
      <c r="J386" s="51" t="str">
        <f t="shared" si="5"/>
        <v>TinPT Cipta Persada Mulia</v>
      </c>
    </row>
    <row r="387" spans="1:10" ht="10.5" customHeight="1">
      <c r="A387" s="51" t="s">
        <v>2437</v>
      </c>
      <c r="B387" s="51" t="s">
        <v>1258</v>
      </c>
      <c r="C387" s="51" t="s">
        <v>1258</v>
      </c>
      <c r="D387" s="51" t="s">
        <v>2351</v>
      </c>
      <c r="E387" s="51" t="s">
        <v>1489</v>
      </c>
      <c r="F387" s="237" t="s">
        <v>3324</v>
      </c>
      <c r="H387" s="51" t="s">
        <v>3672</v>
      </c>
      <c r="I387" s="51" t="s">
        <v>3669</v>
      </c>
      <c r="J387" s="51" t="str">
        <f t="shared" si="5"/>
        <v>TinPT DS Jaya Abadi</v>
      </c>
    </row>
    <row r="388" spans="1:10" ht="10.5" customHeight="1">
      <c r="A388" s="51" t="s">
        <v>2437</v>
      </c>
      <c r="B388" s="51" t="s">
        <v>1283</v>
      </c>
      <c r="C388" s="51" t="s">
        <v>1283</v>
      </c>
      <c r="D388" s="51" t="s">
        <v>2351</v>
      </c>
      <c r="E388" s="51" t="s">
        <v>1490</v>
      </c>
      <c r="F388" s="237" t="s">
        <v>3324</v>
      </c>
      <c r="H388" s="51" t="s">
        <v>3718</v>
      </c>
      <c r="I388" s="51" t="s">
        <v>3719</v>
      </c>
      <c r="J388" s="51" t="str">
        <f t="shared" si="5"/>
        <v>TinPT Eunindo Usaha Mandiri</v>
      </c>
    </row>
    <row r="389" spans="1:10" ht="10.5" customHeight="1">
      <c r="A389" s="51" t="s">
        <v>2437</v>
      </c>
      <c r="B389" s="51" t="s">
        <v>2811</v>
      </c>
      <c r="C389" s="51" t="s">
        <v>2811</v>
      </c>
      <c r="D389" s="51" t="s">
        <v>2351</v>
      </c>
      <c r="E389" s="51" t="s">
        <v>2812</v>
      </c>
      <c r="F389" s="237" t="s">
        <v>3324</v>
      </c>
      <c r="H389" s="51" t="s">
        <v>3672</v>
      </c>
      <c r="I389" s="51" t="s">
        <v>3669</v>
      </c>
      <c r="J389" s="51" t="str">
        <f t="shared" si="5"/>
        <v>TinPT Fang Di MulTindo</v>
      </c>
    </row>
    <row r="390" spans="1:10" ht="10.5" customHeight="1">
      <c r="A390" s="51" t="s">
        <v>2437</v>
      </c>
      <c r="B390" s="51" t="s">
        <v>74</v>
      </c>
      <c r="C390" s="51" t="s">
        <v>1282</v>
      </c>
      <c r="D390" s="51" t="s">
        <v>2351</v>
      </c>
      <c r="E390" s="51" t="s">
        <v>1488</v>
      </c>
      <c r="F390" s="237" t="s">
        <v>3324</v>
      </c>
      <c r="H390" s="51" t="s">
        <v>3672</v>
      </c>
      <c r="I390" s="51" t="s">
        <v>3669</v>
      </c>
      <c r="J390" s="51" t="str">
        <f t="shared" si="5"/>
        <v>TinPT Indora Ermulti</v>
      </c>
    </row>
    <row r="391" spans="1:10" ht="10.5" customHeight="1">
      <c r="A391" s="51" t="s">
        <v>2437</v>
      </c>
      <c r="B391" s="51" t="s">
        <v>3717</v>
      </c>
      <c r="C391" s="51" t="s">
        <v>1282</v>
      </c>
      <c r="D391" s="51" t="s">
        <v>2351</v>
      </c>
      <c r="E391" s="51" t="s">
        <v>1488</v>
      </c>
      <c r="F391" s="237" t="s">
        <v>3324</v>
      </c>
      <c r="H391" s="51" t="s">
        <v>3672</v>
      </c>
      <c r="I391" s="51" t="s">
        <v>3669</v>
      </c>
      <c r="J391" s="51" t="str">
        <f t="shared" si="5"/>
        <v>TinPT Indra Eramult Logam Industri</v>
      </c>
    </row>
    <row r="392" spans="1:10" ht="10.5" customHeight="1">
      <c r="A392" s="51" t="s">
        <v>2437</v>
      </c>
      <c r="B392" s="51" t="s">
        <v>2850</v>
      </c>
      <c r="C392" s="51" t="s">
        <v>2850</v>
      </c>
      <c r="D392" s="51" t="s">
        <v>2351</v>
      </c>
      <c r="E392" s="51" t="s">
        <v>2851</v>
      </c>
      <c r="F392" s="237" t="s">
        <v>3324</v>
      </c>
      <c r="H392" s="51" t="s">
        <v>3668</v>
      </c>
      <c r="I392" s="51" t="s">
        <v>3669</v>
      </c>
      <c r="J392" s="51" t="str">
        <f t="shared" si="5"/>
        <v>TinPT Inti Stania Prima</v>
      </c>
    </row>
    <row r="393" spans="1:10" ht="10.5" customHeight="1">
      <c r="A393" s="51" t="s">
        <v>2437</v>
      </c>
      <c r="B393" s="52" t="s">
        <v>4501</v>
      </c>
      <c r="C393" s="52" t="s">
        <v>4501</v>
      </c>
      <c r="D393" s="52" t="s">
        <v>2351</v>
      </c>
      <c r="E393" s="51" t="s">
        <v>2801</v>
      </c>
      <c r="F393" s="237" t="s">
        <v>3324</v>
      </c>
      <c r="H393" s="51" t="s">
        <v>3670</v>
      </c>
      <c r="I393" s="51" t="s">
        <v>3669</v>
      </c>
      <c r="J393" s="51" t="str">
        <f t="shared" ref="J393:J458" si="6">A393&amp;B393</f>
        <v>TinPT Justindo</v>
      </c>
    </row>
    <row r="394" spans="1:10" ht="10.5" customHeight="1">
      <c r="A394" s="51" t="s">
        <v>2437</v>
      </c>
      <c r="B394" s="51" t="s">
        <v>1259</v>
      </c>
      <c r="C394" s="51" t="s">
        <v>1259</v>
      </c>
      <c r="D394" s="51" t="s">
        <v>2351</v>
      </c>
      <c r="E394" s="51" t="s">
        <v>1491</v>
      </c>
      <c r="F394" s="237" t="s">
        <v>3324</v>
      </c>
      <c r="H394" s="51" t="s">
        <v>3720</v>
      </c>
      <c r="I394" s="51" t="s">
        <v>3719</v>
      </c>
      <c r="J394" s="51" t="str">
        <f t="shared" si="6"/>
        <v>TinPT Karimun Mining</v>
      </c>
    </row>
    <row r="395" spans="1:10" ht="10.5" customHeight="1">
      <c r="A395" s="51" t="s">
        <v>2437</v>
      </c>
      <c r="B395" s="51" t="s">
        <v>1284</v>
      </c>
      <c r="C395" s="51" t="s">
        <v>1284</v>
      </c>
      <c r="D395" s="51" t="s">
        <v>2351</v>
      </c>
      <c r="E395" s="51" t="s">
        <v>1492</v>
      </c>
      <c r="F395" s="237" t="s">
        <v>3324</v>
      </c>
      <c r="H395" s="51" t="s">
        <v>3668</v>
      </c>
      <c r="I395" s="51" t="s">
        <v>3669</v>
      </c>
      <c r="J395" s="51" t="str">
        <f t="shared" si="6"/>
        <v>TinPT Mitra Stania Prima</v>
      </c>
    </row>
    <row r="396" spans="1:10" ht="10.5" customHeight="1">
      <c r="A396" s="51" t="s">
        <v>2437</v>
      </c>
      <c r="B396" s="51" t="s">
        <v>2813</v>
      </c>
      <c r="C396" s="51" t="s">
        <v>2813</v>
      </c>
      <c r="D396" s="51" t="s">
        <v>2351</v>
      </c>
      <c r="E396" s="51" t="s">
        <v>2814</v>
      </c>
      <c r="F396" s="237" t="s">
        <v>3324</v>
      </c>
      <c r="H396" s="51" t="s">
        <v>3668</v>
      </c>
      <c r="I396" s="51" t="s">
        <v>3669</v>
      </c>
      <c r="J396" s="51" t="str">
        <f t="shared" si="6"/>
        <v>TinPT Panca Mega Persada</v>
      </c>
    </row>
    <row r="397" spans="1:10" ht="10.5" customHeight="1">
      <c r="A397" s="51" t="s">
        <v>2437</v>
      </c>
      <c r="B397" s="51" t="s">
        <v>2898</v>
      </c>
      <c r="C397" s="51" t="s">
        <v>2898</v>
      </c>
      <c r="D397" s="51" t="s">
        <v>2351</v>
      </c>
      <c r="E397" s="51" t="s">
        <v>2818</v>
      </c>
      <c r="F397" s="237" t="s">
        <v>3324</v>
      </c>
      <c r="H397" s="51" t="s">
        <v>3670</v>
      </c>
      <c r="I397" s="51" t="s">
        <v>3669</v>
      </c>
      <c r="J397" s="51" t="str">
        <f t="shared" si="6"/>
        <v>TinPT Pelat Timah Nusantara Tbk</v>
      </c>
    </row>
    <row r="398" spans="1:10" ht="10.5" customHeight="1">
      <c r="A398" s="51" t="s">
        <v>2437</v>
      </c>
      <c r="B398" s="51" t="s">
        <v>1493</v>
      </c>
      <c r="C398" s="51" t="s">
        <v>1493</v>
      </c>
      <c r="D398" s="51" t="s">
        <v>2351</v>
      </c>
      <c r="E398" s="51" t="s">
        <v>1494</v>
      </c>
      <c r="F398" s="237" t="s">
        <v>3324</v>
      </c>
      <c r="H398" s="51" t="s">
        <v>3715</v>
      </c>
      <c r="I398" s="51" t="s">
        <v>3669</v>
      </c>
      <c r="J398" s="51" t="str">
        <f t="shared" si="6"/>
        <v>TinPT Prima Timah Utama</v>
      </c>
    </row>
    <row r="399" spans="1:10" ht="10.5" customHeight="1">
      <c r="A399" s="51" t="s">
        <v>2437</v>
      </c>
      <c r="B399" s="51" t="s">
        <v>4417</v>
      </c>
      <c r="C399" s="51" t="s">
        <v>4417</v>
      </c>
      <c r="D399" s="51" t="s">
        <v>2351</v>
      </c>
      <c r="E399" s="51" t="s">
        <v>1495</v>
      </c>
      <c r="F399" s="237" t="s">
        <v>3324</v>
      </c>
      <c r="H399" s="51" t="s">
        <v>3668</v>
      </c>
      <c r="I399" s="51" t="s">
        <v>3669</v>
      </c>
      <c r="J399" s="51" t="str">
        <f t="shared" si="6"/>
        <v>TinPT Refined Bangka Tin</v>
      </c>
    </row>
    <row r="400" spans="1:10" ht="10.5" customHeight="1">
      <c r="A400" s="51" t="s">
        <v>2437</v>
      </c>
      <c r="B400" s="51" t="s">
        <v>1285</v>
      </c>
      <c r="C400" s="51" t="s">
        <v>1285</v>
      </c>
      <c r="D400" s="51" t="s">
        <v>2351</v>
      </c>
      <c r="E400" s="51" t="s">
        <v>1496</v>
      </c>
      <c r="F400" s="237" t="s">
        <v>3324</v>
      </c>
      <c r="H400" s="51" t="s">
        <v>3672</v>
      </c>
      <c r="I400" s="51" t="s">
        <v>3669</v>
      </c>
      <c r="J400" s="51" t="str">
        <f t="shared" si="6"/>
        <v>TinPT Sariwiguna Binasentosa</v>
      </c>
    </row>
    <row r="401" spans="1:11" ht="10.5" customHeight="1">
      <c r="A401" s="51" t="s">
        <v>2437</v>
      </c>
      <c r="B401" s="51" t="s">
        <v>4418</v>
      </c>
      <c r="C401" s="51" t="s">
        <v>4418</v>
      </c>
      <c r="D401" s="51" t="s">
        <v>2351</v>
      </c>
      <c r="E401" s="51" t="s">
        <v>2815</v>
      </c>
      <c r="F401" s="237" t="s">
        <v>3324</v>
      </c>
      <c r="H401" s="51" t="s">
        <v>3668</v>
      </c>
      <c r="I401" s="51" t="s">
        <v>3669</v>
      </c>
      <c r="J401" s="51" t="str">
        <f t="shared" si="6"/>
        <v>TinPT Seirama Tin Investment</v>
      </c>
    </row>
    <row r="402" spans="1:11" ht="10.5" customHeight="1">
      <c r="A402" s="51" t="s">
        <v>2437</v>
      </c>
      <c r="B402" s="51" t="s">
        <v>2482</v>
      </c>
      <c r="C402" s="51" t="s">
        <v>2482</v>
      </c>
      <c r="D402" s="51" t="s">
        <v>2351</v>
      </c>
      <c r="E402" s="51" t="s">
        <v>1497</v>
      </c>
      <c r="F402" s="237" t="s">
        <v>3324</v>
      </c>
      <c r="H402" s="51" t="s">
        <v>3672</v>
      </c>
      <c r="I402" s="51" t="s">
        <v>3669</v>
      </c>
      <c r="J402" s="51" t="str">
        <f t="shared" si="6"/>
        <v>TinPT Stanindo Inti Perkasa</v>
      </c>
    </row>
    <row r="403" spans="1:11" ht="10.5" customHeight="1">
      <c r="A403" s="51" t="s">
        <v>2437</v>
      </c>
      <c r="B403" s="303" t="s">
        <v>4585</v>
      </c>
      <c r="C403" s="303" t="s">
        <v>4585</v>
      </c>
      <c r="D403" s="51" t="s">
        <v>2351</v>
      </c>
      <c r="E403" s="303" t="s">
        <v>4586</v>
      </c>
      <c r="F403" s="237" t="s">
        <v>3324</v>
      </c>
      <c r="H403" s="51" t="s">
        <v>3670</v>
      </c>
      <c r="I403" s="51" t="s">
        <v>3669</v>
      </c>
      <c r="J403" s="51" t="str">
        <f t="shared" si="6"/>
        <v>TinPT Sukses Inti Makmur</v>
      </c>
    </row>
    <row r="404" spans="1:11" ht="10.5" customHeight="1">
      <c r="A404" s="51" t="s">
        <v>2437</v>
      </c>
      <c r="B404" s="51" t="s">
        <v>2816</v>
      </c>
      <c r="C404" s="51" t="s">
        <v>2816</v>
      </c>
      <c r="D404" s="51" t="s">
        <v>2351</v>
      </c>
      <c r="E404" s="51" t="s">
        <v>2817</v>
      </c>
      <c r="F404" s="237" t="s">
        <v>3324</v>
      </c>
      <c r="H404" s="51" t="s">
        <v>3672</v>
      </c>
      <c r="I404" s="51" t="s">
        <v>3669</v>
      </c>
      <c r="J404" s="51" t="str">
        <f t="shared" si="6"/>
        <v>TinPT Sumber Jaya Indah</v>
      </c>
    </row>
    <row r="405" spans="1:11" ht="10.5" customHeight="1">
      <c r="A405" s="51" t="s">
        <v>2437</v>
      </c>
      <c r="B405" s="51" t="s">
        <v>2062</v>
      </c>
      <c r="C405" s="51" t="s">
        <v>3723</v>
      </c>
      <c r="D405" s="51" t="s">
        <v>2351</v>
      </c>
      <c r="E405" s="51" t="s">
        <v>1523</v>
      </c>
      <c r="F405" s="237" t="s">
        <v>3324</v>
      </c>
      <c r="H405" s="51" t="s">
        <v>3724</v>
      </c>
      <c r="I405" s="51" t="s">
        <v>3725</v>
      </c>
      <c r="J405" s="51" t="str">
        <f t="shared" si="6"/>
        <v>TinPT Tambang Timah</v>
      </c>
    </row>
    <row r="406" spans="1:11" ht="10.5" customHeight="1">
      <c r="A406" s="51" t="s">
        <v>2437</v>
      </c>
      <c r="B406" s="51" t="s">
        <v>2063</v>
      </c>
      <c r="C406" s="51" t="s">
        <v>4517</v>
      </c>
      <c r="D406" s="51" t="s">
        <v>2351</v>
      </c>
      <c r="E406" s="51" t="s">
        <v>1498</v>
      </c>
      <c r="F406" s="237" t="s">
        <v>3324</v>
      </c>
      <c r="H406" s="51" t="s">
        <v>3727</v>
      </c>
      <c r="I406" s="51" t="s">
        <v>3669</v>
      </c>
      <c r="J406" s="51" t="str">
        <f t="shared" si="6"/>
        <v>TinPT Timah</v>
      </c>
    </row>
    <row r="407" spans="1:11" ht="10.5" customHeight="1">
      <c r="A407" s="51" t="s">
        <v>2437</v>
      </c>
      <c r="B407" s="51" t="s">
        <v>3723</v>
      </c>
      <c r="C407" s="51" t="s">
        <v>3723</v>
      </c>
      <c r="D407" s="51" t="s">
        <v>2351</v>
      </c>
      <c r="E407" s="51" t="s">
        <v>1523</v>
      </c>
      <c r="F407" s="237" t="s">
        <v>3324</v>
      </c>
      <c r="H407" s="51" t="s">
        <v>3724</v>
      </c>
      <c r="I407" s="51" t="s">
        <v>3725</v>
      </c>
      <c r="J407" s="51" t="str">
        <f t="shared" si="6"/>
        <v>TinPT Timah (Persero) Tbk Kundur</v>
      </c>
    </row>
    <row r="408" spans="1:11" ht="10.5" customHeight="1">
      <c r="A408" s="51" t="s">
        <v>2437</v>
      </c>
      <c r="B408" s="51" t="s">
        <v>4517</v>
      </c>
      <c r="C408" s="51" t="s">
        <v>4517</v>
      </c>
      <c r="D408" s="51" t="s">
        <v>2351</v>
      </c>
      <c r="E408" s="51" t="s">
        <v>1498</v>
      </c>
      <c r="F408" s="237" t="s">
        <v>3324</v>
      </c>
      <c r="H408" s="51" t="s">
        <v>3727</v>
      </c>
      <c r="I408" s="51" t="s">
        <v>3669</v>
      </c>
      <c r="J408" s="51" t="str">
        <f t="shared" si="6"/>
        <v>TinPT Timah (Persero) Tbk Mentok</v>
      </c>
    </row>
    <row r="409" spans="1:11" ht="10.5" customHeight="1">
      <c r="A409" s="51" t="s">
        <v>2437</v>
      </c>
      <c r="B409" s="51" t="s">
        <v>2700</v>
      </c>
      <c r="C409" s="51" t="s">
        <v>4517</v>
      </c>
      <c r="D409" s="51" t="s">
        <v>2351</v>
      </c>
      <c r="E409" s="51" t="s">
        <v>1498</v>
      </c>
      <c r="F409" s="237" t="s">
        <v>3324</v>
      </c>
      <c r="H409" s="51" t="s">
        <v>3727</v>
      </c>
      <c r="I409" s="51" t="s">
        <v>3669</v>
      </c>
      <c r="J409" s="51" t="str">
        <f t="shared" si="6"/>
        <v>TinPT Timah (Persero), Tbk</v>
      </c>
    </row>
    <row r="410" spans="1:11" ht="10.5" customHeight="1">
      <c r="A410" s="51" t="s">
        <v>2437</v>
      </c>
      <c r="B410" s="51" t="s">
        <v>4571</v>
      </c>
      <c r="C410" s="51" t="s">
        <v>2898</v>
      </c>
      <c r="D410" s="51" t="s">
        <v>2351</v>
      </c>
      <c r="E410" s="51" t="s">
        <v>2818</v>
      </c>
      <c r="F410" s="237" t="s">
        <v>3324</v>
      </c>
      <c r="H410" s="51" t="s">
        <v>3670</v>
      </c>
      <c r="I410" s="51" t="s">
        <v>3669</v>
      </c>
      <c r="J410" s="51" t="str">
        <f t="shared" si="6"/>
        <v>TinPT Timah Nusantara</v>
      </c>
    </row>
    <row r="411" spans="1:11" s="272" customFormat="1" ht="10.15" customHeight="1">
      <c r="A411" s="51" t="s">
        <v>2437</v>
      </c>
      <c r="B411" s="51" t="s">
        <v>1046</v>
      </c>
      <c r="C411" s="51" t="s">
        <v>1046</v>
      </c>
      <c r="D411" s="51" t="s">
        <v>2351</v>
      </c>
      <c r="E411" s="51" t="s">
        <v>1499</v>
      </c>
      <c r="F411" s="237" t="s">
        <v>3324</v>
      </c>
      <c r="G411" s="51"/>
      <c r="H411" s="51" t="s">
        <v>3672</v>
      </c>
      <c r="I411" s="51" t="s">
        <v>3669</v>
      </c>
      <c r="J411" s="51" t="str">
        <f t="shared" si="6"/>
        <v>TinPT Tinindo Inter Nusa</v>
      </c>
      <c r="K411" s="51"/>
    </row>
    <row r="412" spans="1:11" ht="10.5" customHeight="1">
      <c r="A412" s="51" t="s">
        <v>2437</v>
      </c>
      <c r="B412" s="51" t="s">
        <v>2852</v>
      </c>
      <c r="C412" s="51" t="s">
        <v>2852</v>
      </c>
      <c r="D412" s="51" t="s">
        <v>2351</v>
      </c>
      <c r="E412" s="51" t="s">
        <v>2853</v>
      </c>
      <c r="F412" s="237" t="s">
        <v>3324</v>
      </c>
      <c r="H412" s="51" t="s">
        <v>3747</v>
      </c>
      <c r="I412" s="51" t="s">
        <v>3722</v>
      </c>
      <c r="J412" s="51" t="str">
        <f t="shared" si="6"/>
        <v>TinPT Tirus Putra Mandiri</v>
      </c>
    </row>
    <row r="413" spans="1:11" ht="10.5" customHeight="1">
      <c r="A413" s="51" t="s">
        <v>2437</v>
      </c>
      <c r="B413" s="53" t="s">
        <v>4598</v>
      </c>
      <c r="C413" s="53" t="s">
        <v>4598</v>
      </c>
      <c r="D413" s="51" t="s">
        <v>2351</v>
      </c>
      <c r="E413" s="301" t="s">
        <v>4599</v>
      </c>
      <c r="F413" s="237" t="s">
        <v>3324</v>
      </c>
      <c r="H413" s="51" t="s">
        <v>4600</v>
      </c>
      <c r="I413" s="51" t="s">
        <v>3669</v>
      </c>
      <c r="J413" s="51" t="str">
        <f t="shared" si="6"/>
        <v>TinPT Tommy Utama</v>
      </c>
    </row>
    <row r="414" spans="1:11" ht="10.5" customHeight="1">
      <c r="A414" s="272" t="s">
        <v>2437</v>
      </c>
      <c r="B414" s="272" t="s">
        <v>4435</v>
      </c>
      <c r="C414" s="272" t="s">
        <v>4435</v>
      </c>
      <c r="D414" s="272" t="s">
        <v>2351</v>
      </c>
      <c r="E414" s="272" t="s">
        <v>2854</v>
      </c>
      <c r="F414" s="299" t="s">
        <v>3324</v>
      </c>
      <c r="G414" s="272"/>
      <c r="H414" s="272" t="s">
        <v>3748</v>
      </c>
      <c r="I414" s="272" t="s">
        <v>3749</v>
      </c>
      <c r="J414" s="53" t="str">
        <f t="shared" si="6"/>
        <v>TinPT Wahana Perkit Jaya</v>
      </c>
    </row>
    <row r="415" spans="1:11" ht="10.5" customHeight="1">
      <c r="A415" s="51" t="s">
        <v>2437</v>
      </c>
      <c r="B415" s="51" t="s">
        <v>4549</v>
      </c>
      <c r="C415" s="51" t="s">
        <v>4549</v>
      </c>
      <c r="D415" s="51" t="s">
        <v>2283</v>
      </c>
      <c r="E415" s="51" t="s">
        <v>3769</v>
      </c>
      <c r="F415" s="237" t="s">
        <v>3324</v>
      </c>
      <c r="H415" s="51" t="s">
        <v>3593</v>
      </c>
      <c r="I415" s="51" t="s">
        <v>3650</v>
      </c>
      <c r="J415" s="51" t="str">
        <f t="shared" si="6"/>
        <v>TinResind Indústria e Comércio Ltda.</v>
      </c>
    </row>
    <row r="416" spans="1:11" ht="10.5" customHeight="1">
      <c r="A416" s="51" t="s">
        <v>2437</v>
      </c>
      <c r="B416" s="51" t="s">
        <v>1500</v>
      </c>
      <c r="C416" s="51" t="s">
        <v>1500</v>
      </c>
      <c r="D416" s="51" t="s">
        <v>1861</v>
      </c>
      <c r="E416" s="51" t="s">
        <v>1501</v>
      </c>
      <c r="F416" s="237" t="s">
        <v>3324</v>
      </c>
      <c r="H416" s="51" t="s">
        <v>3729</v>
      </c>
      <c r="I416" s="51" t="s">
        <v>3506</v>
      </c>
      <c r="J416" s="51" t="str">
        <f t="shared" si="6"/>
        <v>TinRui Da Hung</v>
      </c>
    </row>
    <row r="417" spans="1:10" ht="10.5" customHeight="1">
      <c r="A417" s="51" t="s">
        <v>2437</v>
      </c>
      <c r="B417" s="51" t="s">
        <v>4572</v>
      </c>
      <c r="C417" s="51" t="s">
        <v>3746</v>
      </c>
      <c r="D417" s="51" t="s">
        <v>2294</v>
      </c>
      <c r="E417" s="51" t="s">
        <v>1506</v>
      </c>
      <c r="F417" s="237" t="s">
        <v>3324</v>
      </c>
      <c r="H417" s="51" t="s">
        <v>3683</v>
      </c>
      <c r="I417" s="51" t="s">
        <v>3364</v>
      </c>
      <c r="J417" s="51" t="str">
        <f t="shared" si="6"/>
        <v>TinSmelting Branch of Yunnan Tin Company Ltd</v>
      </c>
    </row>
    <row r="418" spans="1:10" ht="10.5" customHeight="1">
      <c r="A418" s="51" t="s">
        <v>2437</v>
      </c>
      <c r="B418" s="51" t="s">
        <v>4424</v>
      </c>
      <c r="C418" s="51" t="s">
        <v>4424</v>
      </c>
      <c r="D418" s="51" t="s">
        <v>2283</v>
      </c>
      <c r="E418" s="51" t="s">
        <v>1502</v>
      </c>
      <c r="F418" s="237" t="s">
        <v>3324</v>
      </c>
      <c r="H418" s="51" t="s">
        <v>3730</v>
      </c>
      <c r="I418" s="51" t="s">
        <v>3731</v>
      </c>
      <c r="J418" s="51" t="str">
        <f t="shared" si="6"/>
        <v>TinSoft Metais Ltda.</v>
      </c>
    </row>
    <row r="419" spans="1:10" ht="10.5" customHeight="1">
      <c r="A419" s="51" t="s">
        <v>2437</v>
      </c>
      <c r="B419" s="51" t="s">
        <v>75</v>
      </c>
      <c r="C419" s="51" t="s">
        <v>2061</v>
      </c>
      <c r="D419" s="51" t="s">
        <v>1851</v>
      </c>
      <c r="E419" s="51" t="s">
        <v>1503</v>
      </c>
      <c r="F419" s="237" t="s">
        <v>3324</v>
      </c>
      <c r="H419" s="51" t="s">
        <v>3732</v>
      </c>
      <c r="I419" s="51" t="s">
        <v>3733</v>
      </c>
      <c r="J419" s="51" t="str">
        <f t="shared" si="6"/>
        <v>TinThai Solder Industry Corp., Ltd.</v>
      </c>
    </row>
    <row r="420" spans="1:10" ht="10.5" customHeight="1">
      <c r="A420" s="51" t="s">
        <v>2437</v>
      </c>
      <c r="B420" s="51" t="s">
        <v>3734</v>
      </c>
      <c r="C420" s="51" t="s">
        <v>2061</v>
      </c>
      <c r="D420" s="51" t="s">
        <v>1851</v>
      </c>
      <c r="E420" s="51" t="s">
        <v>1503</v>
      </c>
      <c r="F420" s="237" t="s">
        <v>3324</v>
      </c>
      <c r="H420" s="51" t="s">
        <v>3732</v>
      </c>
      <c r="I420" s="51" t="s">
        <v>3733</v>
      </c>
      <c r="J420" s="51" t="str">
        <f t="shared" si="6"/>
        <v>TinThailand Smelting &amp; Refining Co Ltd</v>
      </c>
    </row>
    <row r="421" spans="1:10" ht="10.5" customHeight="1">
      <c r="A421" s="51" t="s">
        <v>2437</v>
      </c>
      <c r="B421" s="51" t="s">
        <v>2061</v>
      </c>
      <c r="C421" s="51" t="s">
        <v>2061</v>
      </c>
      <c r="D421" s="51" t="s">
        <v>1851</v>
      </c>
      <c r="E421" s="51" t="s">
        <v>1503</v>
      </c>
      <c r="F421" s="237" t="s">
        <v>3324</v>
      </c>
      <c r="H421" s="51" t="s">
        <v>3732</v>
      </c>
      <c r="I421" s="51" t="s">
        <v>3733</v>
      </c>
      <c r="J421" s="51" t="str">
        <f t="shared" si="6"/>
        <v>TinThaisarco</v>
      </c>
    </row>
    <row r="422" spans="1:10" ht="10.5" customHeight="1">
      <c r="A422" s="51" t="s">
        <v>2437</v>
      </c>
      <c r="B422" s="51" t="s">
        <v>3737</v>
      </c>
      <c r="C422" s="51" t="s">
        <v>3735</v>
      </c>
      <c r="D422" s="51" t="s">
        <v>2294</v>
      </c>
      <c r="E422" s="51" t="s">
        <v>3736</v>
      </c>
      <c r="F422" s="237" t="s">
        <v>3324</v>
      </c>
      <c r="H422" s="51" t="s">
        <v>3685</v>
      </c>
      <c r="I422" s="51" t="s">
        <v>3364</v>
      </c>
      <c r="J422" s="51" t="str">
        <f t="shared" si="6"/>
        <v>TinThe Gejiu cloud new colored electrolytic</v>
      </c>
    </row>
    <row r="423" spans="1:10" ht="10.5" customHeight="1">
      <c r="A423" s="51" t="s">
        <v>2437</v>
      </c>
      <c r="B423" s="51" t="s">
        <v>76</v>
      </c>
      <c r="C423" s="51" t="s">
        <v>3746</v>
      </c>
      <c r="D423" s="51" t="s">
        <v>2294</v>
      </c>
      <c r="E423" s="51" t="s">
        <v>1506</v>
      </c>
      <c r="F423" s="237" t="s">
        <v>3324</v>
      </c>
      <c r="H423" s="51" t="s">
        <v>3683</v>
      </c>
      <c r="I423" s="51" t="s">
        <v>3364</v>
      </c>
      <c r="J423" s="51" t="str">
        <f t="shared" si="6"/>
        <v>TinTin Products Manufacturing Co.LTD. of YTCL</v>
      </c>
    </row>
    <row r="424" spans="1:10" ht="10.5" customHeight="1">
      <c r="A424" s="51" t="s">
        <v>2437</v>
      </c>
      <c r="B424" s="51" t="s">
        <v>3702</v>
      </c>
      <c r="C424" s="51" t="s">
        <v>2064</v>
      </c>
      <c r="D424" s="51" t="s">
        <v>2283</v>
      </c>
      <c r="E424" s="51" t="s">
        <v>1476</v>
      </c>
      <c r="F424" s="237" t="s">
        <v>3324</v>
      </c>
      <c r="H424" s="51" t="s">
        <v>3701</v>
      </c>
      <c r="I424" s="51" t="s">
        <v>3523</v>
      </c>
      <c r="J424" s="51" t="str">
        <f t="shared" si="6"/>
        <v>TinToboca/ Paranapenema</v>
      </c>
    </row>
    <row r="425" spans="1:10" ht="10.5" customHeight="1">
      <c r="A425" s="51" t="s">
        <v>2437</v>
      </c>
      <c r="B425" s="51" t="s">
        <v>3763</v>
      </c>
      <c r="C425" s="51" t="s">
        <v>3763</v>
      </c>
      <c r="D425" s="51" t="s">
        <v>1874</v>
      </c>
      <c r="E425" s="51" t="s">
        <v>3764</v>
      </c>
      <c r="F425" s="237" t="s">
        <v>3324</v>
      </c>
      <c r="H425" s="51" t="s">
        <v>3765</v>
      </c>
      <c r="I425" s="51" t="s">
        <v>3766</v>
      </c>
      <c r="J425" s="51" t="str">
        <f t="shared" si="6"/>
        <v>TinTuyen Quang Non-Ferrous Metals Joint Stock Company</v>
      </c>
    </row>
    <row r="426" spans="1:10" ht="10.5" customHeight="1">
      <c r="A426" s="51" t="s">
        <v>2437</v>
      </c>
      <c r="B426" s="51" t="s">
        <v>3728</v>
      </c>
      <c r="C426" s="51" t="s">
        <v>4517</v>
      </c>
      <c r="D426" s="51" t="s">
        <v>2351</v>
      </c>
      <c r="E426" s="51" t="s">
        <v>1498</v>
      </c>
      <c r="F426" s="237" t="s">
        <v>3324</v>
      </c>
      <c r="H426" s="51" t="s">
        <v>3727</v>
      </c>
      <c r="I426" s="51" t="s">
        <v>3669</v>
      </c>
      <c r="J426" s="51" t="str">
        <f t="shared" si="6"/>
        <v>TinUnit Metalurgi PT Timah Persero TBK</v>
      </c>
    </row>
    <row r="427" spans="1:10" ht="10.5" customHeight="1">
      <c r="A427" s="51" t="s">
        <v>2437</v>
      </c>
      <c r="B427" s="51" t="s">
        <v>4573</v>
      </c>
      <c r="C427" s="51" t="s">
        <v>3723</v>
      </c>
      <c r="D427" s="51" t="s">
        <v>2351</v>
      </c>
      <c r="E427" s="51" t="s">
        <v>1523</v>
      </c>
      <c r="F427" s="237" t="s">
        <v>3324</v>
      </c>
      <c r="H427" s="51" t="s">
        <v>3724</v>
      </c>
      <c r="I427" s="51" t="s">
        <v>3725</v>
      </c>
      <c r="J427" s="51" t="str">
        <f t="shared" si="6"/>
        <v>TinUnit Timah Kundur PT Tambang</v>
      </c>
    </row>
    <row r="428" spans="1:10" ht="10.5" customHeight="1">
      <c r="A428" s="51" t="s">
        <v>2437</v>
      </c>
      <c r="B428" s="51" t="s">
        <v>3739</v>
      </c>
      <c r="C428" s="51" t="s">
        <v>3739</v>
      </c>
      <c r="D428" s="51" t="s">
        <v>1874</v>
      </c>
      <c r="E428" s="51" t="s">
        <v>3740</v>
      </c>
      <c r="F428" s="237" t="s">
        <v>3324</v>
      </c>
      <c r="H428" s="51" t="s">
        <v>3741</v>
      </c>
      <c r="I428" s="51" t="s">
        <v>3742</v>
      </c>
      <c r="J428" s="51" t="str">
        <f t="shared" si="6"/>
        <v>TinVQB Mineral and Trading Group JSC</v>
      </c>
    </row>
    <row r="429" spans="1:10" ht="9.6" customHeight="1">
      <c r="A429" s="51" t="s">
        <v>2437</v>
      </c>
      <c r="B429" s="51" t="s">
        <v>83</v>
      </c>
      <c r="C429" s="51" t="s">
        <v>83</v>
      </c>
      <c r="D429" s="51" t="s">
        <v>2283</v>
      </c>
      <c r="E429" s="51" t="s">
        <v>1504</v>
      </c>
      <c r="F429" s="237" t="s">
        <v>3324</v>
      </c>
      <c r="H429" s="51" t="s">
        <v>3665</v>
      </c>
      <c r="I429" s="51" t="s">
        <v>3666</v>
      </c>
      <c r="J429" s="51" t="str">
        <f t="shared" si="6"/>
        <v>TinWhite Solder Metalurgia e Mineração Ltda.</v>
      </c>
    </row>
    <row r="430" spans="1:10" ht="10.5" customHeight="1">
      <c r="A430" s="51" t="s">
        <v>2437</v>
      </c>
      <c r="B430" s="51" t="s">
        <v>3743</v>
      </c>
      <c r="C430" s="51" t="s">
        <v>83</v>
      </c>
      <c r="D430" s="51" t="s">
        <v>2283</v>
      </c>
      <c r="E430" s="51" t="s">
        <v>1504</v>
      </c>
      <c r="F430" s="237" t="s">
        <v>3324</v>
      </c>
      <c r="H430" s="51" t="s">
        <v>3665</v>
      </c>
      <c r="I430" s="51" t="s">
        <v>3666</v>
      </c>
      <c r="J430" s="51" t="str">
        <f t="shared" si="6"/>
        <v>TinWhite Solder Metalurgica</v>
      </c>
    </row>
    <row r="431" spans="1:10" ht="10.5" customHeight="1">
      <c r="A431" s="51" t="s">
        <v>2437</v>
      </c>
      <c r="B431" s="51" t="s">
        <v>3696</v>
      </c>
      <c r="C431" s="51" t="s">
        <v>2701</v>
      </c>
      <c r="D431" s="51" t="s">
        <v>2294</v>
      </c>
      <c r="E431" s="51" t="s">
        <v>1474</v>
      </c>
      <c r="F431" s="237" t="s">
        <v>3324</v>
      </c>
      <c r="H431" s="51" t="s">
        <v>3692</v>
      </c>
      <c r="I431" s="51" t="s">
        <v>3656</v>
      </c>
      <c r="J431" s="51" t="str">
        <f t="shared" si="6"/>
        <v>TinXiHai - Liuzhou China Tin Group Co ltd</v>
      </c>
    </row>
    <row r="432" spans="1:10" ht="10.5" customHeight="1">
      <c r="A432" s="51" t="s">
        <v>2437</v>
      </c>
      <c r="B432" s="51" t="s">
        <v>2047</v>
      </c>
      <c r="C432" s="51" t="s">
        <v>3746</v>
      </c>
      <c r="D432" s="51" t="s">
        <v>2294</v>
      </c>
      <c r="E432" s="51" t="s">
        <v>1506</v>
      </c>
      <c r="F432" s="237" t="s">
        <v>3324</v>
      </c>
      <c r="H432" s="51" t="s">
        <v>3683</v>
      </c>
      <c r="I432" s="51" t="s">
        <v>3364</v>
      </c>
      <c r="J432" s="51" t="str">
        <f t="shared" si="6"/>
        <v>TinYTCL</v>
      </c>
    </row>
    <row r="433" spans="1:10" ht="10.5" customHeight="1">
      <c r="A433" s="51" t="s">
        <v>2437</v>
      </c>
      <c r="B433" s="51" t="s">
        <v>3738</v>
      </c>
      <c r="C433" s="51" t="s">
        <v>3735</v>
      </c>
      <c r="D433" s="51" t="s">
        <v>2294</v>
      </c>
      <c r="E433" s="51" t="s">
        <v>3736</v>
      </c>
      <c r="F433" s="237" t="s">
        <v>3324</v>
      </c>
      <c r="H433" s="51" t="s">
        <v>3685</v>
      </c>
      <c r="I433" s="51" t="s">
        <v>3364</v>
      </c>
      <c r="J433" s="51" t="str">
        <f t="shared" si="6"/>
        <v>TinYunan Gejiu Yunxin Electrolyze Limited</v>
      </c>
    </row>
    <row r="434" spans="1:10" ht="10.5" customHeight="1">
      <c r="A434" s="51" t="s">
        <v>2437</v>
      </c>
      <c r="B434" s="51" t="s">
        <v>3744</v>
      </c>
      <c r="C434" s="51" t="s">
        <v>4431</v>
      </c>
      <c r="D434" s="51" t="s">
        <v>2294</v>
      </c>
      <c r="E434" s="51" t="s">
        <v>1505</v>
      </c>
      <c r="F434" s="237" t="s">
        <v>3324</v>
      </c>
      <c r="H434" s="51" t="s">
        <v>3685</v>
      </c>
      <c r="I434" s="51" t="s">
        <v>3364</v>
      </c>
      <c r="J434" s="51" t="str">
        <f t="shared" si="6"/>
        <v>TinYunnan Adventure Co., Ltd.</v>
      </c>
    </row>
    <row r="435" spans="1:10" ht="10.5" customHeight="1">
      <c r="A435" s="51" t="s">
        <v>2437</v>
      </c>
      <c r="B435" s="51" t="s">
        <v>4574</v>
      </c>
      <c r="C435" s="51" t="s">
        <v>4431</v>
      </c>
      <c r="D435" s="51" t="s">
        <v>2294</v>
      </c>
      <c r="E435" s="51" t="s">
        <v>1505</v>
      </c>
      <c r="F435" s="237" t="s">
        <v>3324</v>
      </c>
      <c r="H435" s="51" t="s">
        <v>3685</v>
      </c>
      <c r="I435" s="51" t="s">
        <v>3364</v>
      </c>
      <c r="J435" s="51" t="str">
        <f t="shared" si="6"/>
        <v>TinYunnan Chengfeng</v>
      </c>
    </row>
    <row r="436" spans="1:10" ht="10.5" customHeight="1">
      <c r="A436" s="51" t="s">
        <v>2437</v>
      </c>
      <c r="B436" s="51" t="s">
        <v>4431</v>
      </c>
      <c r="C436" s="51" t="s">
        <v>4431</v>
      </c>
      <c r="D436" s="51" t="s">
        <v>2294</v>
      </c>
      <c r="E436" s="51" t="s">
        <v>1505</v>
      </c>
      <c r="F436" s="237" t="s">
        <v>3324</v>
      </c>
      <c r="H436" s="51" t="s">
        <v>3685</v>
      </c>
      <c r="I436" s="51" t="s">
        <v>3364</v>
      </c>
      <c r="J436" s="51" t="str">
        <f t="shared" si="6"/>
        <v>TinYunnan Chengfeng Non-ferrous Metals Co., Ltd.</v>
      </c>
    </row>
    <row r="437" spans="1:10" ht="10.5" customHeight="1">
      <c r="A437" s="51" t="s">
        <v>2437</v>
      </c>
      <c r="B437" s="51" t="s">
        <v>3686</v>
      </c>
      <c r="C437" s="51" t="s">
        <v>3684</v>
      </c>
      <c r="D437" s="51" t="s">
        <v>2294</v>
      </c>
      <c r="E437" s="51" t="s">
        <v>1470</v>
      </c>
      <c r="F437" s="237" t="s">
        <v>3324</v>
      </c>
      <c r="H437" s="51" t="s">
        <v>3685</v>
      </c>
      <c r="I437" s="51" t="s">
        <v>3364</v>
      </c>
      <c r="J437" s="51" t="str">
        <f t="shared" si="6"/>
        <v>TinYunnan Geiju Zili Metallurgy Co. Ltd.</v>
      </c>
    </row>
    <row r="438" spans="1:10" ht="10.5" customHeight="1">
      <c r="A438" s="51" t="s">
        <v>2437</v>
      </c>
      <c r="B438" s="51" t="s">
        <v>84</v>
      </c>
      <c r="C438" s="51" t="s">
        <v>3746</v>
      </c>
      <c r="D438" s="51" t="s">
        <v>2294</v>
      </c>
      <c r="E438" s="51" t="s">
        <v>1506</v>
      </c>
      <c r="F438" s="237" t="s">
        <v>3324</v>
      </c>
      <c r="H438" s="51" t="s">
        <v>3683</v>
      </c>
      <c r="I438" s="51" t="s">
        <v>3364</v>
      </c>
      <c r="J438" s="51" t="str">
        <f t="shared" si="6"/>
        <v>TinYunnan Tin Company, Ltd.</v>
      </c>
    </row>
    <row r="439" spans="1:10" ht="10.5" customHeight="1">
      <c r="A439" s="51" t="s">
        <v>2437</v>
      </c>
      <c r="B439" s="51" t="s">
        <v>3746</v>
      </c>
      <c r="C439" s="51" t="s">
        <v>3746</v>
      </c>
      <c r="D439" s="51" t="s">
        <v>2294</v>
      </c>
      <c r="E439" s="51" t="s">
        <v>1506</v>
      </c>
      <c r="F439" s="237" t="s">
        <v>3324</v>
      </c>
      <c r="H439" s="51" t="s">
        <v>3683</v>
      </c>
      <c r="I439" s="51" t="s">
        <v>3364</v>
      </c>
      <c r="J439" s="51" t="str">
        <f t="shared" si="6"/>
        <v>TinYunnan Tin Group (Holding) Company Limited</v>
      </c>
    </row>
    <row r="440" spans="1:10" ht="10.5" customHeight="1">
      <c r="A440" s="51" t="s">
        <v>2437</v>
      </c>
      <c r="B440" s="51" t="s">
        <v>3745</v>
      </c>
      <c r="C440" s="51" t="s">
        <v>4431</v>
      </c>
      <c r="D440" s="51" t="s">
        <v>2294</v>
      </c>
      <c r="E440" s="51" t="s">
        <v>1505</v>
      </c>
      <c r="F440" s="237" t="s">
        <v>3324</v>
      </c>
      <c r="H440" s="51" t="s">
        <v>3685</v>
      </c>
      <c r="I440" s="51" t="s">
        <v>3364</v>
      </c>
      <c r="J440" s="51" t="str">
        <f t="shared" si="6"/>
        <v>TinYunnan wind Nonferrous Metals Co., Ltd.</v>
      </c>
    </row>
    <row r="441" spans="1:10" ht="10.5" customHeight="1">
      <c r="A441" s="51" t="s">
        <v>2437</v>
      </c>
      <c r="B441" s="51" t="s">
        <v>77</v>
      </c>
      <c r="C441" s="51" t="s">
        <v>3746</v>
      </c>
      <c r="D441" s="51" t="s">
        <v>2294</v>
      </c>
      <c r="E441" s="51" t="s">
        <v>1506</v>
      </c>
      <c r="F441" s="237" t="s">
        <v>3324</v>
      </c>
      <c r="H441" s="51" t="s">
        <v>3683</v>
      </c>
      <c r="I441" s="51" t="s">
        <v>3364</v>
      </c>
      <c r="J441" s="51" t="str">
        <f t="shared" si="6"/>
        <v>TinYuntinic Resources</v>
      </c>
    </row>
    <row r="442" spans="1:10" ht="10.5" customHeight="1">
      <c r="A442" s="51" t="s">
        <v>2437</v>
      </c>
      <c r="B442" s="51" t="s">
        <v>3831</v>
      </c>
      <c r="J442" s="51" t="str">
        <f t="shared" si="6"/>
        <v>TinSmelter not listed</v>
      </c>
    </row>
    <row r="443" spans="1:10" ht="10.5" customHeight="1">
      <c r="A443" s="53" t="s">
        <v>2439</v>
      </c>
      <c r="B443" s="52" t="s">
        <v>3776</v>
      </c>
      <c r="C443" s="52" t="s">
        <v>3776</v>
      </c>
      <c r="D443" s="52" t="s">
        <v>2362</v>
      </c>
      <c r="E443" s="51" t="s">
        <v>1507</v>
      </c>
      <c r="F443" s="237" t="s">
        <v>3324</v>
      </c>
      <c r="H443" s="51" t="s">
        <v>4383</v>
      </c>
      <c r="I443" s="51" t="s">
        <v>4384</v>
      </c>
      <c r="J443" s="51" t="str">
        <f t="shared" si="6"/>
        <v>TungstenA.L.M.T. TUNGSTEN Corp.</v>
      </c>
    </row>
    <row r="444" spans="1:10" ht="10.5" customHeight="1">
      <c r="A444" s="53" t="s">
        <v>2439</v>
      </c>
      <c r="B444" s="51" t="s">
        <v>3777</v>
      </c>
      <c r="C444" s="51" t="s">
        <v>3776</v>
      </c>
      <c r="D444" s="52" t="s">
        <v>2362</v>
      </c>
      <c r="E444" s="51" t="s">
        <v>1507</v>
      </c>
      <c r="F444" s="237" t="s">
        <v>3324</v>
      </c>
      <c r="H444" s="51" t="s">
        <v>4383</v>
      </c>
      <c r="I444" s="51" t="s">
        <v>4384</v>
      </c>
      <c r="J444" s="51" t="str">
        <f t="shared" si="6"/>
        <v>TungstenAllied Material Corporation</v>
      </c>
    </row>
    <row r="445" spans="1:10" ht="10.5" customHeight="1">
      <c r="A445" s="53" t="s">
        <v>2439</v>
      </c>
      <c r="B445" s="51" t="s">
        <v>3778</v>
      </c>
      <c r="C445" s="51" t="s">
        <v>3776</v>
      </c>
      <c r="D445" s="52" t="s">
        <v>2362</v>
      </c>
      <c r="E445" s="51" t="s">
        <v>1507</v>
      </c>
      <c r="F445" s="237" t="s">
        <v>3324</v>
      </c>
      <c r="H445" s="51" t="s">
        <v>4383</v>
      </c>
      <c r="I445" s="51" t="s">
        <v>4384</v>
      </c>
      <c r="J445" s="51" t="str">
        <f t="shared" si="6"/>
        <v>TungstenALMT Corp</v>
      </c>
    </row>
    <row r="446" spans="1:10" ht="10.5" customHeight="1">
      <c r="A446" s="53" t="s">
        <v>2439</v>
      </c>
      <c r="B446" s="51" t="s">
        <v>4575</v>
      </c>
      <c r="C446" s="51" t="s">
        <v>3776</v>
      </c>
      <c r="D446" s="52" t="s">
        <v>2362</v>
      </c>
      <c r="E446" s="51" t="s">
        <v>1507</v>
      </c>
      <c r="F446" s="237" t="s">
        <v>3324</v>
      </c>
      <c r="H446" s="51" t="s">
        <v>4383</v>
      </c>
      <c r="I446" s="51" t="s">
        <v>4384</v>
      </c>
      <c r="J446" s="51" t="str">
        <f t="shared" si="6"/>
        <v>TungstenALMT Sumitomo Group</v>
      </c>
    </row>
    <row r="447" spans="1:10" ht="10.5" customHeight="1">
      <c r="A447" s="53" t="s">
        <v>2439</v>
      </c>
      <c r="B447" s="51" t="s">
        <v>2855</v>
      </c>
      <c r="C447" s="51" t="s">
        <v>2855</v>
      </c>
      <c r="D447" s="51" t="s">
        <v>1874</v>
      </c>
      <c r="E447" s="51" t="s">
        <v>2856</v>
      </c>
      <c r="F447" s="237" t="s">
        <v>3324</v>
      </c>
      <c r="H447" s="51" t="s">
        <v>3803</v>
      </c>
      <c r="I447" s="51" t="s">
        <v>3804</v>
      </c>
      <c r="J447" s="51" t="str">
        <f t="shared" si="6"/>
        <v>TungstenAsia Tungsten Products Vietnam Ltd.</v>
      </c>
    </row>
    <row r="448" spans="1:10" ht="10.5" customHeight="1">
      <c r="A448" s="53" t="s">
        <v>2439</v>
      </c>
      <c r="B448" s="51" t="s">
        <v>4576</v>
      </c>
      <c r="C448" s="51" t="s">
        <v>230</v>
      </c>
      <c r="D448" s="52" t="s">
        <v>1867</v>
      </c>
      <c r="E448" s="51" t="s">
        <v>1508</v>
      </c>
      <c r="F448" s="237" t="s">
        <v>3324</v>
      </c>
      <c r="H448" s="51" t="s">
        <v>3779</v>
      </c>
      <c r="I448" s="51" t="s">
        <v>3780</v>
      </c>
      <c r="J448" s="51" t="str">
        <f t="shared" si="6"/>
        <v>TungstenATI Metalworking Products</v>
      </c>
    </row>
    <row r="449" spans="1:10" ht="10.5" customHeight="1">
      <c r="A449" s="53" t="s">
        <v>2439</v>
      </c>
      <c r="B449" s="51" t="s">
        <v>2488</v>
      </c>
      <c r="C449" s="51" t="s">
        <v>230</v>
      </c>
      <c r="D449" s="52" t="s">
        <v>1867</v>
      </c>
      <c r="E449" s="51" t="s">
        <v>1508</v>
      </c>
      <c r="F449" s="237" t="s">
        <v>3324</v>
      </c>
      <c r="H449" s="51" t="s">
        <v>3779</v>
      </c>
      <c r="I449" s="51" t="s">
        <v>3780</v>
      </c>
      <c r="J449" s="51" t="str">
        <f t="shared" si="6"/>
        <v>TungstenATI Tungsten Materials</v>
      </c>
    </row>
    <row r="450" spans="1:10" ht="10.5" customHeight="1">
      <c r="A450" s="53" t="s">
        <v>2439</v>
      </c>
      <c r="B450" s="51" t="s">
        <v>4592</v>
      </c>
      <c r="C450" s="51" t="s">
        <v>2795</v>
      </c>
      <c r="D450" s="52" t="s">
        <v>2294</v>
      </c>
      <c r="E450" s="51" t="s">
        <v>1509</v>
      </c>
      <c r="F450" s="237" t="s">
        <v>3324</v>
      </c>
      <c r="H450" s="51" t="s">
        <v>3781</v>
      </c>
      <c r="I450" s="51" t="s">
        <v>3545</v>
      </c>
      <c r="J450" s="51" t="str">
        <f t="shared" si="6"/>
        <v>TungstenChaozhou Xianglu Tungsten Industry Co., Ltd.</v>
      </c>
    </row>
    <row r="451" spans="1:10" ht="10.5" customHeight="1">
      <c r="A451" s="53" t="s">
        <v>2439</v>
      </c>
      <c r="B451" s="51" t="s">
        <v>2857</v>
      </c>
      <c r="C451" s="51" t="s">
        <v>2857</v>
      </c>
      <c r="D451" s="51" t="s">
        <v>2294</v>
      </c>
      <c r="E451" s="51" t="s">
        <v>2858</v>
      </c>
      <c r="F451" s="237" t="s">
        <v>3324</v>
      </c>
      <c r="H451" s="51" t="s">
        <v>3691</v>
      </c>
      <c r="I451" s="51" t="s">
        <v>3390</v>
      </c>
      <c r="J451" s="51" t="str">
        <f t="shared" si="6"/>
        <v>TungstenChenzhou Diamond Tungsten Products Co., Ltd.</v>
      </c>
    </row>
    <row r="452" spans="1:10" ht="10.5" customHeight="1">
      <c r="A452" s="53" t="s">
        <v>2439</v>
      </c>
      <c r="B452" s="51" t="s">
        <v>3785</v>
      </c>
      <c r="C452" s="51" t="s">
        <v>232</v>
      </c>
      <c r="D452" s="51" t="s">
        <v>2294</v>
      </c>
      <c r="E452" s="51" t="s">
        <v>1518</v>
      </c>
      <c r="F452" s="237" t="s">
        <v>3324</v>
      </c>
      <c r="H452" s="51" t="s">
        <v>3687</v>
      </c>
      <c r="I452" s="51" t="s">
        <v>3408</v>
      </c>
      <c r="J452" s="51" t="str">
        <f t="shared" si="6"/>
        <v>TungstenChina National Non Ferrous</v>
      </c>
    </row>
    <row r="453" spans="1:10" ht="10.5" customHeight="1">
      <c r="A453" s="53" t="s">
        <v>2439</v>
      </c>
      <c r="B453" s="52" t="s">
        <v>2794</v>
      </c>
      <c r="C453" s="52" t="s">
        <v>2794</v>
      </c>
      <c r="D453" s="52" t="s">
        <v>2294</v>
      </c>
      <c r="E453" s="51" t="s">
        <v>1510</v>
      </c>
      <c r="F453" s="237" t="s">
        <v>3324</v>
      </c>
      <c r="H453" s="51" t="s">
        <v>3687</v>
      </c>
      <c r="I453" s="51" t="s">
        <v>3408</v>
      </c>
      <c r="J453" s="51" t="str">
        <f t="shared" si="6"/>
        <v>TungstenChongyi Zhangyuan Tungsten Co., Ltd.</v>
      </c>
    </row>
    <row r="454" spans="1:10" ht="10.5" customHeight="1">
      <c r="A454" s="53" t="s">
        <v>2439</v>
      </c>
      <c r="B454" s="51" t="s">
        <v>2859</v>
      </c>
      <c r="C454" s="51" t="s">
        <v>2859</v>
      </c>
      <c r="D454" s="51" t="s">
        <v>2294</v>
      </c>
      <c r="E454" s="51" t="s">
        <v>2860</v>
      </c>
      <c r="F454" s="237" t="s">
        <v>3324</v>
      </c>
      <c r="H454" s="51" t="s">
        <v>3805</v>
      </c>
      <c r="I454" s="51" t="s">
        <v>3408</v>
      </c>
      <c r="J454" s="51" t="str">
        <f t="shared" si="6"/>
        <v>TungstenDayu Jincheng Tungsten Industry Co., Ltd.</v>
      </c>
    </row>
    <row r="455" spans="1:10" ht="10.5" customHeight="1">
      <c r="A455" s="53" t="s">
        <v>2439</v>
      </c>
      <c r="B455" s="51" t="s">
        <v>1568</v>
      </c>
      <c r="C455" s="51" t="s">
        <v>1568</v>
      </c>
      <c r="D455" s="51" t="s">
        <v>2294</v>
      </c>
      <c r="E455" s="51" t="s">
        <v>1511</v>
      </c>
      <c r="F455" s="237" t="s">
        <v>3324</v>
      </c>
      <c r="H455" s="51" t="s">
        <v>3687</v>
      </c>
      <c r="I455" s="51" t="s">
        <v>3408</v>
      </c>
      <c r="J455" s="51" t="str">
        <f t="shared" si="6"/>
        <v>TungstenDayu Weiliang Tungsten Co., Ltd.</v>
      </c>
    </row>
    <row r="456" spans="1:10" ht="10.5" customHeight="1">
      <c r="A456" s="53" t="s">
        <v>2439</v>
      </c>
      <c r="B456" s="51" t="s">
        <v>1569</v>
      </c>
      <c r="C456" s="51" t="s">
        <v>1569</v>
      </c>
      <c r="D456" s="51" t="s">
        <v>2294</v>
      </c>
      <c r="E456" s="51" t="s">
        <v>1512</v>
      </c>
      <c r="F456" s="237" t="s">
        <v>3324</v>
      </c>
      <c r="H456" s="51" t="s">
        <v>3783</v>
      </c>
      <c r="I456" s="51" t="s">
        <v>3542</v>
      </c>
      <c r="J456" s="51" t="str">
        <f t="shared" si="6"/>
        <v>TungstenFujian Jinxin Tungsten Co., Ltd.</v>
      </c>
    </row>
    <row r="457" spans="1:10" ht="10.5" customHeight="1">
      <c r="A457" s="53" t="s">
        <v>2439</v>
      </c>
      <c r="B457" s="51" t="s">
        <v>2861</v>
      </c>
      <c r="C457" s="51" t="s">
        <v>2861</v>
      </c>
      <c r="D457" s="51" t="s">
        <v>2294</v>
      </c>
      <c r="E457" s="51" t="s">
        <v>2862</v>
      </c>
      <c r="F457" s="237" t="s">
        <v>3324</v>
      </c>
      <c r="H457" s="51" t="s">
        <v>3806</v>
      </c>
      <c r="I457" s="51" t="s">
        <v>3408</v>
      </c>
      <c r="J457" s="51" t="str">
        <f t="shared" si="6"/>
        <v>TungstenGanxian Shirui New Material Co., Ltd.</v>
      </c>
    </row>
    <row r="458" spans="1:10" ht="10.5" customHeight="1">
      <c r="A458" s="53" t="s">
        <v>2439</v>
      </c>
      <c r="B458" s="51" t="s">
        <v>232</v>
      </c>
      <c r="C458" s="51" t="s">
        <v>232</v>
      </c>
      <c r="D458" s="51" t="s">
        <v>2294</v>
      </c>
      <c r="E458" s="51" t="s">
        <v>1518</v>
      </c>
      <c r="F458" s="237" t="s">
        <v>3324</v>
      </c>
      <c r="H458" s="51" t="s">
        <v>3687</v>
      </c>
      <c r="I458" s="51" t="s">
        <v>3408</v>
      </c>
      <c r="J458" s="51" t="str">
        <f t="shared" si="6"/>
        <v>TungstenGanzhou Huaxing Tungsten Products Co., Ltd.</v>
      </c>
    </row>
    <row r="459" spans="1:10" ht="10.5" customHeight="1">
      <c r="A459" s="53" t="s">
        <v>2439</v>
      </c>
      <c r="B459" s="51" t="s">
        <v>234</v>
      </c>
      <c r="C459" s="51" t="s">
        <v>234</v>
      </c>
      <c r="D459" s="51" t="s">
        <v>2294</v>
      </c>
      <c r="E459" s="51" t="s">
        <v>222</v>
      </c>
      <c r="F459" s="237" t="s">
        <v>3324</v>
      </c>
      <c r="H459" s="51" t="s">
        <v>3687</v>
      </c>
      <c r="I459" s="51" t="s">
        <v>3408</v>
      </c>
      <c r="J459" s="51" t="str">
        <f t="shared" ref="J459:J502" si="7">A459&amp;B459</f>
        <v>TungstenGanzhou Jiangwu Ferrotungsten Co., Ltd.</v>
      </c>
    </row>
    <row r="460" spans="1:10" ht="10.5" customHeight="1">
      <c r="A460" s="53" t="s">
        <v>2439</v>
      </c>
      <c r="B460" s="51" t="s">
        <v>231</v>
      </c>
      <c r="C460" s="51" t="s">
        <v>231</v>
      </c>
      <c r="D460" s="51" t="s">
        <v>2294</v>
      </c>
      <c r="E460" s="51" t="s">
        <v>1517</v>
      </c>
      <c r="F460" s="237" t="s">
        <v>3324</v>
      </c>
      <c r="H460" s="51" t="s">
        <v>3687</v>
      </c>
      <c r="I460" s="51" t="s">
        <v>3408</v>
      </c>
      <c r="J460" s="51" t="str">
        <f t="shared" si="7"/>
        <v>TungstenGanzhou Non-ferrous Metals Smelting Co., Ltd.</v>
      </c>
    </row>
    <row r="461" spans="1:10" ht="10.5" customHeight="1">
      <c r="A461" s="53" t="s">
        <v>2439</v>
      </c>
      <c r="B461" s="51" t="s">
        <v>772</v>
      </c>
      <c r="C461" s="51" t="s">
        <v>772</v>
      </c>
      <c r="D461" s="51" t="s">
        <v>2294</v>
      </c>
      <c r="E461" s="51" t="s">
        <v>773</v>
      </c>
      <c r="F461" s="237" t="s">
        <v>3324</v>
      </c>
      <c r="H461" s="51" t="s">
        <v>3687</v>
      </c>
      <c r="I461" s="51" t="s">
        <v>3408</v>
      </c>
      <c r="J461" s="51" t="str">
        <f t="shared" si="7"/>
        <v>TungstenGanzhou Seadragon W &amp; Mo Co., Ltd.</v>
      </c>
    </row>
    <row r="462" spans="1:10" ht="10.5" customHeight="1">
      <c r="A462" s="53" t="s">
        <v>2439</v>
      </c>
      <c r="B462" s="51" t="s">
        <v>2863</v>
      </c>
      <c r="C462" s="51" t="s">
        <v>2863</v>
      </c>
      <c r="D462" s="51" t="s">
        <v>2294</v>
      </c>
      <c r="E462" s="51" t="s">
        <v>2864</v>
      </c>
      <c r="F462" s="237" t="s">
        <v>3324</v>
      </c>
      <c r="H462" s="51" t="s">
        <v>3687</v>
      </c>
      <c r="I462" s="51" t="s">
        <v>3408</v>
      </c>
      <c r="J462" s="51" t="str">
        <f t="shared" si="7"/>
        <v>TungstenGanzhou Yatai Tungsten Co., Ltd.</v>
      </c>
    </row>
    <row r="463" spans="1:10" ht="10.5" customHeight="1">
      <c r="A463" s="53" t="s">
        <v>2439</v>
      </c>
      <c r="B463" s="51" t="s">
        <v>1</v>
      </c>
      <c r="C463" s="51" t="s">
        <v>1</v>
      </c>
      <c r="D463" s="51" t="s">
        <v>1867</v>
      </c>
      <c r="E463" s="51" t="s">
        <v>1513</v>
      </c>
      <c r="F463" s="237" t="s">
        <v>3324</v>
      </c>
      <c r="H463" s="51" t="s">
        <v>3784</v>
      </c>
      <c r="I463" s="51" t="s">
        <v>3613</v>
      </c>
      <c r="J463" s="51" t="str">
        <f t="shared" si="7"/>
        <v>TungstenGlobal Tungsten &amp; Powders Corp.</v>
      </c>
    </row>
    <row r="464" spans="1:10" ht="10.5" customHeight="1">
      <c r="A464" s="53" t="s">
        <v>2439</v>
      </c>
      <c r="B464" s="51" t="s">
        <v>2048</v>
      </c>
      <c r="C464" s="51" t="s">
        <v>1</v>
      </c>
      <c r="D464" s="51" t="s">
        <v>1867</v>
      </c>
      <c r="E464" s="51" t="s">
        <v>1513</v>
      </c>
      <c r="F464" s="237" t="s">
        <v>3324</v>
      </c>
      <c r="H464" s="51" t="s">
        <v>3784</v>
      </c>
      <c r="I464" s="51" t="s">
        <v>3613</v>
      </c>
      <c r="J464" s="51" t="str">
        <f t="shared" si="7"/>
        <v>TungstenGTP</v>
      </c>
    </row>
    <row r="465" spans="1:10" ht="10.5" customHeight="1">
      <c r="A465" s="53" t="s">
        <v>2439</v>
      </c>
      <c r="B465" s="52" t="s">
        <v>2795</v>
      </c>
      <c r="C465" s="52" t="s">
        <v>2795</v>
      </c>
      <c r="D465" s="52" t="s">
        <v>2294</v>
      </c>
      <c r="E465" s="51" t="s">
        <v>1509</v>
      </c>
      <c r="F465" s="237" t="s">
        <v>3324</v>
      </c>
      <c r="H465" s="51" t="s">
        <v>3781</v>
      </c>
      <c r="I465" s="51" t="s">
        <v>3545</v>
      </c>
      <c r="J465" s="51" t="str">
        <f t="shared" si="7"/>
        <v>TungstenGuangdong Xianglu Tungsten Co., Ltd.</v>
      </c>
    </row>
    <row r="466" spans="1:10" ht="10.5" customHeight="1">
      <c r="A466" s="53" t="s">
        <v>2439</v>
      </c>
      <c r="B466" s="51" t="s">
        <v>2899</v>
      </c>
      <c r="C466" s="51" t="s">
        <v>2899</v>
      </c>
      <c r="D466" s="51" t="s">
        <v>2308</v>
      </c>
      <c r="E466" s="51" t="s">
        <v>2900</v>
      </c>
      <c r="F466" s="237" t="s">
        <v>3324</v>
      </c>
      <c r="H466" s="51" t="s">
        <v>3632</v>
      </c>
      <c r="I466" s="51" t="s">
        <v>3633</v>
      </c>
      <c r="J466" s="51" t="str">
        <f t="shared" si="7"/>
        <v>TungstenH.C. Starck GmbH</v>
      </c>
    </row>
    <row r="467" spans="1:10" ht="10.5" customHeight="1">
      <c r="A467" s="53" t="s">
        <v>2439</v>
      </c>
      <c r="B467" s="51" t="s">
        <v>2889</v>
      </c>
      <c r="C467" s="51" t="s">
        <v>2889</v>
      </c>
      <c r="D467" s="51" t="s">
        <v>2308</v>
      </c>
      <c r="E467" s="51" t="s">
        <v>2901</v>
      </c>
      <c r="F467" s="237" t="s">
        <v>3324</v>
      </c>
      <c r="H467" s="51" t="s">
        <v>3634</v>
      </c>
      <c r="I467" s="51" t="s">
        <v>3332</v>
      </c>
      <c r="J467" s="51" t="str">
        <f t="shared" si="7"/>
        <v>TungstenH.C. Starck Smelting GmbH &amp; Co.KG</v>
      </c>
    </row>
    <row r="468" spans="1:10" ht="10.5" customHeight="1">
      <c r="A468" s="53" t="s">
        <v>2439</v>
      </c>
      <c r="B468" s="51" t="s">
        <v>2792</v>
      </c>
      <c r="C468" s="51" t="s">
        <v>4540</v>
      </c>
      <c r="D468" s="51" t="s">
        <v>2294</v>
      </c>
      <c r="E468" s="51" t="s">
        <v>1514</v>
      </c>
      <c r="F468" s="237" t="s">
        <v>3324</v>
      </c>
      <c r="H468" s="51" t="s">
        <v>4385</v>
      </c>
      <c r="I468" s="51" t="s">
        <v>3390</v>
      </c>
      <c r="J468" s="51" t="str">
        <f t="shared" si="7"/>
        <v>TungstenHunan Chenzhou Mining Group Co., Ltd.</v>
      </c>
    </row>
    <row r="469" spans="1:10" ht="10.5" customHeight="1">
      <c r="A469" s="53" t="s">
        <v>2439</v>
      </c>
      <c r="B469" s="51" t="s">
        <v>4540</v>
      </c>
      <c r="C469" s="51" t="s">
        <v>4540</v>
      </c>
      <c r="D469" s="51" t="s">
        <v>2294</v>
      </c>
      <c r="E469" s="51" t="s">
        <v>1514</v>
      </c>
      <c r="F469" s="237" t="s">
        <v>3324</v>
      </c>
      <c r="H469" s="51" t="s">
        <v>4385</v>
      </c>
      <c r="I469" s="51" t="s">
        <v>3390</v>
      </c>
      <c r="J469" s="51" t="str">
        <f t="shared" si="7"/>
        <v>TungstenHunan Chenzhou Mining Co., Ltd.</v>
      </c>
    </row>
    <row r="470" spans="1:10" ht="10.5" customHeight="1">
      <c r="A470" s="53" t="s">
        <v>2439</v>
      </c>
      <c r="B470" s="51" t="s">
        <v>3818</v>
      </c>
      <c r="C470" s="51" t="s">
        <v>3818</v>
      </c>
      <c r="D470" s="51" t="s">
        <v>2294</v>
      </c>
      <c r="E470" s="51" t="s">
        <v>3819</v>
      </c>
      <c r="F470" s="237" t="s">
        <v>3324</v>
      </c>
      <c r="H470" s="51" t="s">
        <v>3619</v>
      </c>
      <c r="I470" s="51" t="s">
        <v>3390</v>
      </c>
      <c r="J470" s="51" t="str">
        <f t="shared" si="7"/>
        <v>TungstenHunan Chuangda Vanadium Tungsten Co., Ltd. Wuji</v>
      </c>
    </row>
    <row r="471" spans="1:10" ht="10.5" customHeight="1">
      <c r="A471" s="53" t="s">
        <v>2439</v>
      </c>
      <c r="B471" s="51" t="s">
        <v>3816</v>
      </c>
      <c r="C471" s="51" t="s">
        <v>3816</v>
      </c>
      <c r="D471" s="51" t="s">
        <v>2294</v>
      </c>
      <c r="E471" s="51" t="s">
        <v>3817</v>
      </c>
      <c r="F471" s="237" t="s">
        <v>3324</v>
      </c>
      <c r="H471" s="51" t="s">
        <v>3619</v>
      </c>
      <c r="I471" s="51" t="s">
        <v>3390</v>
      </c>
      <c r="J471" s="51" t="str">
        <f t="shared" si="7"/>
        <v>TungstenHunan Chuangda Vanadium Tungsten Co., Ltd. Yanglin</v>
      </c>
    </row>
    <row r="472" spans="1:10" ht="10.5" customHeight="1">
      <c r="A472" s="53" t="s">
        <v>2439</v>
      </c>
      <c r="B472" s="51" t="s">
        <v>2796</v>
      </c>
      <c r="C472" s="51" t="s">
        <v>2796</v>
      </c>
      <c r="D472" s="51" t="s">
        <v>2294</v>
      </c>
      <c r="E472" s="51" t="s">
        <v>1515</v>
      </c>
      <c r="F472" s="237" t="s">
        <v>3324</v>
      </c>
      <c r="H472" s="51" t="s">
        <v>3619</v>
      </c>
      <c r="I472" s="51" t="s">
        <v>3390</v>
      </c>
      <c r="J472" s="51" t="str">
        <f t="shared" si="7"/>
        <v>TungstenHunan Chunchang Nonferrous Metals Co., Ltd.</v>
      </c>
    </row>
    <row r="473" spans="1:10" ht="10.5" customHeight="1">
      <c r="A473" s="53" t="s">
        <v>2439</v>
      </c>
      <c r="B473" s="51" t="s">
        <v>3823</v>
      </c>
      <c r="C473" s="51" t="s">
        <v>3823</v>
      </c>
      <c r="D473" s="51" t="s">
        <v>1825</v>
      </c>
      <c r="E473" s="51" t="s">
        <v>3824</v>
      </c>
      <c r="F473" s="237" t="s">
        <v>3324</v>
      </c>
      <c r="H473" s="51" t="s">
        <v>3825</v>
      </c>
      <c r="I473" s="51" t="s">
        <v>3826</v>
      </c>
      <c r="J473" s="51" t="str">
        <f t="shared" si="7"/>
        <v>TungstenHydrometallurg, JSC</v>
      </c>
    </row>
    <row r="474" spans="1:10" ht="10.5" customHeight="1">
      <c r="A474" s="53" t="s">
        <v>2439</v>
      </c>
      <c r="B474" s="51" t="s">
        <v>2797</v>
      </c>
      <c r="C474" s="51" t="s">
        <v>2797</v>
      </c>
      <c r="D474" s="51" t="s">
        <v>2362</v>
      </c>
      <c r="E474" s="51" t="s">
        <v>1516</v>
      </c>
      <c r="F474" s="237" t="s">
        <v>3324</v>
      </c>
      <c r="H474" s="51" t="s">
        <v>4386</v>
      </c>
      <c r="I474" s="51" t="s">
        <v>3377</v>
      </c>
      <c r="J474" s="51" t="str">
        <f t="shared" si="7"/>
        <v>TungstenJapan New Metals Co., Ltd.</v>
      </c>
    </row>
    <row r="475" spans="1:10" ht="10.5" customHeight="1">
      <c r="A475" s="53" t="s">
        <v>2439</v>
      </c>
      <c r="B475" s="51" t="s">
        <v>2902</v>
      </c>
      <c r="C475" s="51" t="s">
        <v>2902</v>
      </c>
      <c r="D475" s="51" t="s">
        <v>2294</v>
      </c>
      <c r="E475" s="51" t="s">
        <v>2903</v>
      </c>
      <c r="F475" s="237" t="s">
        <v>3324</v>
      </c>
      <c r="H475" s="51" t="s">
        <v>3687</v>
      </c>
      <c r="I475" s="51" t="s">
        <v>3408</v>
      </c>
      <c r="J475" s="51" t="str">
        <f t="shared" si="7"/>
        <v>TungstenJiangwu H.C. Starck Tungsten Products Co., Ltd.</v>
      </c>
    </row>
    <row r="476" spans="1:10" ht="10.5" customHeight="1">
      <c r="A476" s="53" t="s">
        <v>2439</v>
      </c>
      <c r="B476" s="51" t="s">
        <v>240</v>
      </c>
      <c r="C476" s="51" t="s">
        <v>240</v>
      </c>
      <c r="D476" s="51" t="s">
        <v>2294</v>
      </c>
      <c r="E476" s="51" t="s">
        <v>220</v>
      </c>
      <c r="F476" s="237" t="s">
        <v>3324</v>
      </c>
      <c r="H476" s="51" t="s">
        <v>3802</v>
      </c>
      <c r="I476" s="51" t="s">
        <v>3408</v>
      </c>
      <c r="J476" s="51" t="str">
        <f t="shared" si="7"/>
        <v>TungstenJiangxi Gan Bei Tungsten Co., Ltd.</v>
      </c>
    </row>
    <row r="477" spans="1:10" ht="10.5" customHeight="1">
      <c r="A477" s="53" t="s">
        <v>2439</v>
      </c>
      <c r="B477" s="51" t="s">
        <v>1570</v>
      </c>
      <c r="C477" s="51" t="s">
        <v>1570</v>
      </c>
      <c r="D477" s="51" t="s">
        <v>2294</v>
      </c>
      <c r="E477" s="51" t="s">
        <v>1525</v>
      </c>
      <c r="F477" s="237" t="s">
        <v>3324</v>
      </c>
      <c r="H477" s="51" t="s">
        <v>3798</v>
      </c>
      <c r="I477" s="51" t="s">
        <v>3408</v>
      </c>
      <c r="J477" s="51" t="str">
        <f t="shared" si="7"/>
        <v>TungstenJiangxi Minmetals Gao'an Non-ferrous Metals Co., Ltd.</v>
      </c>
    </row>
    <row r="478" spans="1:10" ht="10.5" customHeight="1">
      <c r="A478" s="53" t="s">
        <v>2439</v>
      </c>
      <c r="B478" s="51" t="s">
        <v>237</v>
      </c>
      <c r="C478" s="51" t="s">
        <v>237</v>
      </c>
      <c r="D478" s="51" t="s">
        <v>2294</v>
      </c>
      <c r="E478" s="51" t="s">
        <v>225</v>
      </c>
      <c r="F478" s="237" t="s">
        <v>3324</v>
      </c>
      <c r="H478" s="51" t="s">
        <v>3799</v>
      </c>
      <c r="I478" s="51" t="s">
        <v>3408</v>
      </c>
      <c r="J478" s="51" t="str">
        <f t="shared" si="7"/>
        <v>TungstenJiangxi Tonggu Non-ferrous Metallurgical &amp; Chemical Co., Ltd.</v>
      </c>
    </row>
    <row r="479" spans="1:10" ht="10.5" customHeight="1">
      <c r="A479" s="53" t="s">
        <v>2439</v>
      </c>
      <c r="B479" s="51" t="s">
        <v>4577</v>
      </c>
      <c r="C479" s="51" t="s">
        <v>232</v>
      </c>
      <c r="D479" s="51" t="s">
        <v>2294</v>
      </c>
      <c r="E479" s="51" t="s">
        <v>1518</v>
      </c>
      <c r="F479" s="237" t="s">
        <v>3324</v>
      </c>
      <c r="H479" s="51" t="s">
        <v>3687</v>
      </c>
      <c r="I479" s="51" t="s">
        <v>3408</v>
      </c>
      <c r="J479" s="51" t="str">
        <f t="shared" si="7"/>
        <v>TungstenJiangxi Tungsten Co Ltd</v>
      </c>
    </row>
    <row r="480" spans="1:10" ht="10.5" customHeight="1">
      <c r="A480" s="53" t="s">
        <v>2439</v>
      </c>
      <c r="B480" s="51" t="s">
        <v>3786</v>
      </c>
      <c r="C480" s="51" t="s">
        <v>232</v>
      </c>
      <c r="D480" s="51" t="s">
        <v>2294</v>
      </c>
      <c r="E480" s="51" t="s">
        <v>1518</v>
      </c>
      <c r="F480" s="237" t="s">
        <v>3324</v>
      </c>
      <c r="H480" s="51" t="s">
        <v>3687</v>
      </c>
      <c r="I480" s="51" t="s">
        <v>3408</v>
      </c>
      <c r="J480" s="51" t="str">
        <f t="shared" si="7"/>
        <v>TungstenJiangxi Tungsten Industry Group Co. Ltd.</v>
      </c>
    </row>
    <row r="481" spans="1:10" ht="10.5" customHeight="1">
      <c r="A481" s="53" t="s">
        <v>2439</v>
      </c>
      <c r="B481" s="51" t="s">
        <v>236</v>
      </c>
      <c r="C481" s="51" t="s">
        <v>236</v>
      </c>
      <c r="D481" s="51" t="s">
        <v>2294</v>
      </c>
      <c r="E481" s="51" t="s">
        <v>224</v>
      </c>
      <c r="F481" s="237" t="s">
        <v>3324</v>
      </c>
      <c r="H481" s="51" t="s">
        <v>3687</v>
      </c>
      <c r="I481" s="51" t="s">
        <v>3408</v>
      </c>
      <c r="J481" s="51" t="str">
        <f t="shared" si="7"/>
        <v>TungstenJiangxi Xinsheng Tungsten Industry Co., Ltd.</v>
      </c>
    </row>
    <row r="482" spans="1:10" ht="10.5" customHeight="1">
      <c r="A482" s="53" t="s">
        <v>2439</v>
      </c>
      <c r="B482" s="51" t="s">
        <v>2865</v>
      </c>
      <c r="C482" s="51" t="s">
        <v>2865</v>
      </c>
      <c r="D482" s="51" t="s">
        <v>2294</v>
      </c>
      <c r="E482" s="51" t="s">
        <v>2866</v>
      </c>
      <c r="F482" s="237" t="s">
        <v>3324</v>
      </c>
      <c r="H482" s="51" t="s">
        <v>3811</v>
      </c>
      <c r="I482" s="51" t="s">
        <v>3408</v>
      </c>
      <c r="J482" s="51" t="str">
        <f t="shared" si="7"/>
        <v>TungstenJiangxi Xiushui Xianggan Nonferrous Metals Co., Ltd.</v>
      </c>
    </row>
    <row r="483" spans="1:10" ht="10.5" customHeight="1">
      <c r="A483" s="53" t="s">
        <v>2439</v>
      </c>
      <c r="B483" s="51" t="s">
        <v>235</v>
      </c>
      <c r="C483" s="51" t="s">
        <v>235</v>
      </c>
      <c r="D483" s="51" t="s">
        <v>2294</v>
      </c>
      <c r="E483" s="51" t="s">
        <v>223</v>
      </c>
      <c r="F483" s="237" t="s">
        <v>3324</v>
      </c>
      <c r="H483" s="51" t="s">
        <v>3687</v>
      </c>
      <c r="I483" s="51" t="s">
        <v>3408</v>
      </c>
      <c r="J483" s="51" t="str">
        <f t="shared" si="7"/>
        <v>TungstenJiangxi Yaosheng Tungsten Co., Ltd.</v>
      </c>
    </row>
    <row r="484" spans="1:10" ht="10.5" customHeight="1">
      <c r="A484" s="53" t="s">
        <v>2439</v>
      </c>
      <c r="B484" s="51" t="s">
        <v>233</v>
      </c>
      <c r="C484" s="51" t="s">
        <v>233</v>
      </c>
      <c r="D484" s="51" t="s">
        <v>1867</v>
      </c>
      <c r="E484" s="51" t="s">
        <v>1519</v>
      </c>
      <c r="F484" s="237" t="s">
        <v>3324</v>
      </c>
      <c r="H484" s="51" t="s">
        <v>3787</v>
      </c>
      <c r="I484" s="51" t="s">
        <v>3645</v>
      </c>
      <c r="J484" s="51" t="str">
        <f t="shared" si="7"/>
        <v>TungstenKennametal Fallon</v>
      </c>
    </row>
    <row r="485" spans="1:10" ht="10.5" customHeight="1">
      <c r="A485" s="53" t="s">
        <v>2439</v>
      </c>
      <c r="B485" s="52" t="s">
        <v>230</v>
      </c>
      <c r="C485" s="52" t="s">
        <v>230</v>
      </c>
      <c r="D485" s="52" t="s">
        <v>1867</v>
      </c>
      <c r="E485" s="51" t="s">
        <v>1508</v>
      </c>
      <c r="F485" s="237" t="s">
        <v>3324</v>
      </c>
      <c r="H485" s="51" t="s">
        <v>3779</v>
      </c>
      <c r="I485" s="51" t="s">
        <v>3780</v>
      </c>
      <c r="J485" s="51" t="str">
        <f t="shared" si="7"/>
        <v>TungstenKennametal Huntsville</v>
      </c>
    </row>
    <row r="486" spans="1:10" ht="10.5" customHeight="1">
      <c r="A486" s="53" t="s">
        <v>2439</v>
      </c>
      <c r="B486" s="51" t="s">
        <v>238</v>
      </c>
      <c r="C486" s="51" t="s">
        <v>238</v>
      </c>
      <c r="D486" s="51" t="s">
        <v>2294</v>
      </c>
      <c r="E486" s="51" t="s">
        <v>226</v>
      </c>
      <c r="F486" s="237" t="s">
        <v>3324</v>
      </c>
      <c r="H486" s="51" t="s">
        <v>3800</v>
      </c>
      <c r="I486" s="51" t="s">
        <v>3364</v>
      </c>
      <c r="J486" s="51" t="str">
        <f t="shared" si="7"/>
        <v>TungstenMalipo Haiyu Tungsten Co., Ltd.</v>
      </c>
    </row>
    <row r="487" spans="1:10" ht="10.5" customHeight="1">
      <c r="A487" s="53" t="s">
        <v>2439</v>
      </c>
      <c r="B487" s="51" t="s">
        <v>3820</v>
      </c>
      <c r="C487" s="51" t="s">
        <v>3820</v>
      </c>
      <c r="D487" s="51" t="s">
        <v>1867</v>
      </c>
      <c r="E487" s="51" t="s">
        <v>3821</v>
      </c>
      <c r="F487" s="237" t="s">
        <v>3324</v>
      </c>
      <c r="H487" s="51" t="s">
        <v>3822</v>
      </c>
      <c r="I487" s="51" t="s">
        <v>3437</v>
      </c>
      <c r="J487" s="51" t="str">
        <f t="shared" si="7"/>
        <v>TungstenNiagara Refining LLC</v>
      </c>
    </row>
    <row r="488" spans="1:10" ht="10.5" customHeight="1">
      <c r="A488" s="53" t="s">
        <v>2439</v>
      </c>
      <c r="B488" s="51" t="s">
        <v>2905</v>
      </c>
      <c r="C488" s="51" t="s">
        <v>2905</v>
      </c>
      <c r="D488" s="51" t="s">
        <v>1874</v>
      </c>
      <c r="E488" s="51" t="s">
        <v>2904</v>
      </c>
      <c r="F488" s="237" t="s">
        <v>3324</v>
      </c>
      <c r="H488" s="51" t="s">
        <v>3814</v>
      </c>
      <c r="I488" s="51" t="s">
        <v>3815</v>
      </c>
      <c r="J488" s="51" t="str">
        <f t="shared" si="7"/>
        <v>TungstenNui Phao H.C. Starck Tungsten Chemicals Manufacturing LLC</v>
      </c>
    </row>
    <row r="489" spans="1:10" ht="10.5" customHeight="1">
      <c r="A489" s="53" t="s">
        <v>2439</v>
      </c>
      <c r="B489" s="51" t="s">
        <v>3807</v>
      </c>
      <c r="C489" s="51" t="s">
        <v>3807</v>
      </c>
      <c r="D489" s="51" t="s">
        <v>1825</v>
      </c>
      <c r="E489" s="51" t="s">
        <v>3808</v>
      </c>
      <c r="F489" s="237" t="s">
        <v>3324</v>
      </c>
      <c r="H489" s="51" t="s">
        <v>3809</v>
      </c>
      <c r="I489" s="51" t="s">
        <v>3810</v>
      </c>
      <c r="J489" s="51" t="str">
        <f t="shared" si="7"/>
        <v>TungstenPobedit, JSC</v>
      </c>
    </row>
    <row r="490" spans="1:10" ht="10.5" customHeight="1">
      <c r="A490" s="53" t="s">
        <v>2439</v>
      </c>
      <c r="B490" s="51" t="s">
        <v>2867</v>
      </c>
      <c r="C490" s="51" t="s">
        <v>2867</v>
      </c>
      <c r="D490" s="51" t="s">
        <v>1874</v>
      </c>
      <c r="E490" s="51" t="s">
        <v>2868</v>
      </c>
      <c r="F490" s="237" t="s">
        <v>3324</v>
      </c>
      <c r="H490" s="51" t="s">
        <v>3812</v>
      </c>
      <c r="I490" s="51" t="s">
        <v>3813</v>
      </c>
      <c r="J490" s="51" t="str">
        <f t="shared" si="7"/>
        <v>TungstenSanher Tungsten Vietnam Co., Ltd.</v>
      </c>
    </row>
    <row r="491" spans="1:10" ht="10.5" customHeight="1">
      <c r="A491" s="53" t="s">
        <v>2439</v>
      </c>
      <c r="B491" s="51" t="s">
        <v>3797</v>
      </c>
      <c r="C491" s="51" t="s">
        <v>1571</v>
      </c>
      <c r="D491" s="51" t="s">
        <v>2294</v>
      </c>
      <c r="E491" s="51" t="s">
        <v>1524</v>
      </c>
      <c r="F491" s="237" t="s">
        <v>3324</v>
      </c>
      <c r="H491" s="51" t="s">
        <v>3796</v>
      </c>
      <c r="I491" s="51" t="s">
        <v>3545</v>
      </c>
      <c r="J491" s="51" t="str">
        <f t="shared" si="7"/>
        <v>TungstenShaoguan Xinhai Rendan Tungsten Industry Co. Ltd</v>
      </c>
    </row>
    <row r="492" spans="1:10" ht="10.5" customHeight="1">
      <c r="A492" s="53" t="s">
        <v>2439</v>
      </c>
      <c r="B492" s="51" t="s">
        <v>2</v>
      </c>
      <c r="C492" s="51" t="s">
        <v>2</v>
      </c>
      <c r="D492" s="51" t="s">
        <v>1874</v>
      </c>
      <c r="E492" s="51" t="s">
        <v>1520</v>
      </c>
      <c r="F492" s="237" t="s">
        <v>3324</v>
      </c>
      <c r="H492" s="51" t="s">
        <v>3788</v>
      </c>
      <c r="I492" s="51" t="s">
        <v>4387</v>
      </c>
      <c r="J492" s="51" t="str">
        <f t="shared" si="7"/>
        <v>TungstenTejing (Vietnam) Tungsten Co., Ltd.</v>
      </c>
    </row>
    <row r="493" spans="1:10" ht="10.5" customHeight="1">
      <c r="A493" s="53" t="s">
        <v>2439</v>
      </c>
      <c r="B493" s="51" t="s">
        <v>4428</v>
      </c>
      <c r="C493" s="51" t="s">
        <v>4428</v>
      </c>
      <c r="D493" s="51" t="s">
        <v>1874</v>
      </c>
      <c r="E493" s="51" t="s">
        <v>2699</v>
      </c>
      <c r="F493" s="237" t="s">
        <v>3324</v>
      </c>
      <c r="H493" s="51" t="s">
        <v>3790</v>
      </c>
      <c r="I493" s="51" t="s">
        <v>3789</v>
      </c>
      <c r="J493" s="51" t="str">
        <f t="shared" si="7"/>
        <v>TungstenVietnam Youngsun Tungsten Industry Co., Ltd.</v>
      </c>
    </row>
    <row r="494" spans="1:10" ht="10.5" customHeight="1">
      <c r="A494" s="53" t="s">
        <v>2439</v>
      </c>
      <c r="B494" s="51" t="s">
        <v>3793</v>
      </c>
      <c r="C494" s="51" t="s">
        <v>1894</v>
      </c>
      <c r="D494" s="51" t="s">
        <v>2268</v>
      </c>
      <c r="E494" s="51" t="s">
        <v>1521</v>
      </c>
      <c r="F494" s="237" t="s">
        <v>3324</v>
      </c>
      <c r="H494" s="51" t="s">
        <v>3791</v>
      </c>
      <c r="I494" s="51" t="s">
        <v>3629</v>
      </c>
      <c r="J494" s="51" t="str">
        <f t="shared" si="7"/>
        <v>TungstenWBH</v>
      </c>
    </row>
    <row r="495" spans="1:10" ht="10.5" customHeight="1">
      <c r="A495" s="53" t="s">
        <v>2439</v>
      </c>
      <c r="B495" s="51" t="s">
        <v>3792</v>
      </c>
      <c r="C495" s="51" t="s">
        <v>1894</v>
      </c>
      <c r="D495" s="51" t="s">
        <v>2268</v>
      </c>
      <c r="E495" s="51" t="s">
        <v>1521</v>
      </c>
      <c r="F495" s="237" t="s">
        <v>3324</v>
      </c>
      <c r="H495" s="51" t="s">
        <v>3791</v>
      </c>
      <c r="I495" s="51" t="s">
        <v>3629</v>
      </c>
      <c r="J495" s="51" t="str">
        <f t="shared" si="7"/>
        <v>TungstenWBH,Wolfram [Austria]</v>
      </c>
    </row>
    <row r="496" spans="1:10" ht="10.5" customHeight="1">
      <c r="A496" s="53" t="s">
        <v>2439</v>
      </c>
      <c r="B496" s="51" t="s">
        <v>1894</v>
      </c>
      <c r="C496" s="51" t="s">
        <v>1894</v>
      </c>
      <c r="D496" s="51" t="s">
        <v>2268</v>
      </c>
      <c r="E496" s="51" t="s">
        <v>1521</v>
      </c>
      <c r="F496" s="237" t="s">
        <v>3324</v>
      </c>
      <c r="H496" s="51" t="s">
        <v>3791</v>
      </c>
      <c r="I496" s="51" t="s">
        <v>3629</v>
      </c>
      <c r="J496" s="51" t="str">
        <f t="shared" si="7"/>
        <v>TungstenWolfram Bergbau und Hütten AG</v>
      </c>
    </row>
    <row r="497" spans="1:10" ht="10.5" customHeight="1">
      <c r="A497" s="53" t="s">
        <v>2439</v>
      </c>
      <c r="B497" s="51" t="s">
        <v>3801</v>
      </c>
      <c r="C497" s="51" t="s">
        <v>239</v>
      </c>
      <c r="D497" s="51" t="s">
        <v>2294</v>
      </c>
      <c r="E497" s="51" t="s">
        <v>227</v>
      </c>
      <c r="F497" s="237" t="s">
        <v>3324</v>
      </c>
      <c r="H497" s="51" t="s">
        <v>3795</v>
      </c>
      <c r="I497" s="51" t="s">
        <v>3795</v>
      </c>
      <c r="J497" s="51" t="str">
        <f t="shared" si="7"/>
        <v>TungstenXiamen H.C.</v>
      </c>
    </row>
    <row r="498" spans="1:10" ht="10.5" customHeight="1">
      <c r="A498" s="53" t="s">
        <v>2439</v>
      </c>
      <c r="B498" s="51" t="s">
        <v>239</v>
      </c>
      <c r="C498" s="51" t="s">
        <v>239</v>
      </c>
      <c r="D498" s="51" t="s">
        <v>2294</v>
      </c>
      <c r="E498" s="51" t="s">
        <v>227</v>
      </c>
      <c r="F498" s="237" t="s">
        <v>3324</v>
      </c>
      <c r="H498" s="51" t="s">
        <v>3795</v>
      </c>
      <c r="I498" s="51" t="s">
        <v>3795</v>
      </c>
      <c r="J498" s="51" t="str">
        <f t="shared" si="7"/>
        <v>TungstenXiamen Tungsten (H.C.) Co., Ltd.</v>
      </c>
    </row>
    <row r="499" spans="1:10" ht="10.5" customHeight="1">
      <c r="A499" s="53" t="s">
        <v>2439</v>
      </c>
      <c r="B499" s="51" t="s">
        <v>2798</v>
      </c>
      <c r="C499" s="51" t="s">
        <v>2798</v>
      </c>
      <c r="D499" s="51" t="s">
        <v>2294</v>
      </c>
      <c r="E499" s="51" t="s">
        <v>1522</v>
      </c>
      <c r="F499" s="237" t="s">
        <v>3324</v>
      </c>
      <c r="H499" s="51" t="s">
        <v>3794</v>
      </c>
      <c r="I499" s="51" t="s">
        <v>3795</v>
      </c>
      <c r="J499" s="51" t="str">
        <f t="shared" si="7"/>
        <v>TungstenXiamen Tungsten Co., Ltd.</v>
      </c>
    </row>
    <row r="500" spans="1:10" ht="10.5" customHeight="1">
      <c r="A500" s="53" t="s">
        <v>2439</v>
      </c>
      <c r="B500" s="51" t="s">
        <v>1571</v>
      </c>
      <c r="C500" s="51" t="s">
        <v>1571</v>
      </c>
      <c r="D500" s="51" t="s">
        <v>2294</v>
      </c>
      <c r="E500" s="51" t="s">
        <v>1524</v>
      </c>
      <c r="F500" s="237" t="s">
        <v>3324</v>
      </c>
      <c r="H500" s="51" t="s">
        <v>3796</v>
      </c>
      <c r="I500" s="51" t="s">
        <v>3545</v>
      </c>
      <c r="J500" s="51" t="str">
        <f t="shared" si="7"/>
        <v>TungstenXinhai Rendan Shaoguan Tungsten Co., Ltd.</v>
      </c>
    </row>
    <row r="501" spans="1:10" ht="10.5" customHeight="1">
      <c r="A501" s="53" t="s">
        <v>2439</v>
      </c>
      <c r="B501" s="51" t="s">
        <v>3782</v>
      </c>
      <c r="C501" s="51" t="s">
        <v>2794</v>
      </c>
      <c r="D501" s="52" t="s">
        <v>2294</v>
      </c>
      <c r="E501" s="51" t="s">
        <v>1510</v>
      </c>
      <c r="F501" s="237" t="s">
        <v>3324</v>
      </c>
      <c r="H501" s="51" t="s">
        <v>3687</v>
      </c>
      <c r="I501" s="51" t="s">
        <v>3408</v>
      </c>
      <c r="J501" s="51" t="str">
        <f t="shared" si="7"/>
        <v>TungstenZhangyuan Tungsten Co Ltd</v>
      </c>
    </row>
    <row r="502" spans="1:10" ht="10.5" customHeight="1">
      <c r="A502" s="51" t="s">
        <v>2439</v>
      </c>
      <c r="B502" s="51" t="s">
        <v>3831</v>
      </c>
      <c r="J502" s="51" t="str">
        <f t="shared" si="7"/>
        <v>TungstenSmelter not listed</v>
      </c>
    </row>
  </sheetData>
  <sheetProtection password="E815" sheet="1"/>
  <autoFilter ref="A4:I502"/>
  <mergeCells count="1">
    <mergeCell ref="A1:G1"/>
  </mergeCells>
  <phoneticPr fontId="31"/>
  <conditionalFormatting sqref="K5:K501">
    <cfRule type="cellIs" dxfId="0" priority="1" stopIfTrue="1"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10</vt:i4>
      </vt:variant>
    </vt:vector>
  </HeadingPairs>
  <TitlesOfParts>
    <vt:vector size="21" baseType="lpstr">
      <vt:lpstr>Revision</vt:lpstr>
      <vt:lpstr>Instructions</vt:lpstr>
      <vt:lpstr>Definitions</vt:lpstr>
      <vt:lpstr>Declaration</vt:lpstr>
      <vt:lpstr>Smelter List</vt:lpstr>
      <vt:lpstr>Checker</vt:lpstr>
      <vt:lpstr>Product List</vt:lpstr>
      <vt:lpstr>L</vt:lpstr>
      <vt:lpstr>Smelter Reference List</vt:lpstr>
      <vt:lpstr>C</vt:lpstr>
      <vt:lpstr>Sheet1</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luo mx</cp:lastModifiedBy>
  <cp:lastPrinted>2015-04-21T20:47:43Z</cp:lastPrinted>
  <dcterms:created xsi:type="dcterms:W3CDTF">2010-06-21T21:00:23Z</dcterms:created>
  <dcterms:modified xsi:type="dcterms:W3CDTF">2016-09-20T04:52:27Z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